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drawings/drawing3.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drawings/drawing4.xml" ContentType="application/vnd.openxmlformats-officedocument.drawing+xml"/>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drawings/drawing5.xml" ContentType="application/vnd.openxmlformats-officedocument.drawing+xml"/>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drawings/drawing6.xml" ContentType="application/vnd.openxmlformats-officedocument.drawing+xml"/>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7.xml" ContentType="application/vnd.openxmlformats-officedocument.drawing+xml"/>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drawings/drawing8.xml" ContentType="application/vnd.openxmlformats-officedocument.drawing+xml"/>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drawings/drawing9.xml" ContentType="application/vnd.openxmlformats-officedocument.drawing+xml"/>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drawings/drawing10.xml" ContentType="application/vnd.openxmlformats-officedocument.drawing+xml"/>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Cindi\Documents\Linda Glau\Budget 2022-2023\"/>
    </mc:Choice>
  </mc:AlternateContent>
  <xr:revisionPtr revIDLastSave="0" documentId="8_{DE754393-30A5-49FD-9798-4E005924751A}" xr6:coauthVersionLast="47" xr6:coauthVersionMax="47" xr10:uidLastSave="{00000000-0000-0000-0000-000000000000}"/>
  <bookViews>
    <workbookView xWindow="-108" yWindow="-108" windowWidth="23256" windowHeight="12456" xr2:uid="{431DFEF4-C612-48D7-9320-74C20771B23F}"/>
  </bookViews>
  <sheets>
    <sheet name="Approved Budget" sheetId="33" r:id="rId1"/>
    <sheet name="App Bud for Input" sheetId="34" r:id="rId2"/>
    <sheet name="For Trustees 071222 " sheetId="32" r:id="rId3"/>
    <sheet name="Working Copy 071222" sheetId="31" r:id="rId4"/>
    <sheet name="Sheet1" sheetId="35" r:id="rId5"/>
    <sheet name="For Trustee 061422" sheetId="30" r:id="rId6"/>
    <sheet name="Working Copy 061422" sheetId="29" r:id="rId7"/>
    <sheet name="For Trustees 050522" sheetId="28" r:id="rId8"/>
    <sheet name="Working Copy 050522" sheetId="25" r:id="rId9"/>
    <sheet name="Ad Downloaded 042822" sheetId="24" r:id="rId10"/>
    <sheet name="060421 For Trustees Prior Year " sheetId="27" r:id="rId11"/>
    <sheet name="Wage &amp; Benefit modeling 22-23" sheetId="23" r:id="rId12"/>
    <sheet name="Wage &amp; Benefit modeling 21-22" sheetId="18" r:id="rId13"/>
    <sheet name="Wage &amp; Benefit modeling 20-21" sheetId="6" r:id="rId14"/>
    <sheet name="Wage &amp; Benefit modeling 19-20" sheetId="3" r:id="rId15"/>
    <sheet name="Wage &amp; Benefit modeling 18-19" sheetId="4" r:id="rId16"/>
    <sheet name="Wage &amp; Benefit modeling 17-18" sheetId="5" r:id="rId17"/>
    <sheet name="Budget Input Notes" sheetId="14" r:id="rId18"/>
    <sheet name="Notes from Prior Year" sheetId="8" r:id="rId19"/>
  </sheets>
  <definedNames>
    <definedName name="_xlnm.Print_Area" localSheetId="12">'Wage &amp; Benefit modeling 21-22'!$A$1:$J$12</definedName>
    <definedName name="_xlnm.Print_Area" localSheetId="11">'Wage &amp; Benefit modeling 22-23'!$A$1:$P$13</definedName>
    <definedName name="_xlnm.Print_Titles" localSheetId="10">'060421 For Trustees Prior Year '!$1:$1</definedName>
    <definedName name="_xlnm.Print_Titles" localSheetId="9">'Ad Downloaded 042822'!$1:$1</definedName>
    <definedName name="_xlnm.Print_Titles" localSheetId="1">'App Bud for Input'!$1:$1</definedName>
    <definedName name="_xlnm.Print_Titles" localSheetId="0">'Approved Budget'!$1:$1</definedName>
    <definedName name="_xlnm.Print_Titles" localSheetId="5">'For Trustee 061422'!$1:$1</definedName>
    <definedName name="_xlnm.Print_Titles" localSheetId="7">'For Trustees 050522'!$1:$1</definedName>
    <definedName name="_xlnm.Print_Titles" localSheetId="2">'For Trustees 071222 '!$1:$1</definedName>
    <definedName name="_xlnm.Print_Titles" localSheetId="8">'Working Copy 050522'!$1:$1</definedName>
    <definedName name="_xlnm.Print_Titles" localSheetId="6">'Working Copy 061422'!$1:$1</definedName>
    <definedName name="_xlnm.Print_Titles" localSheetId="3">'Working Copy 071222'!$1:$1</definedName>
    <definedName name="QB_COLUMN_2921" localSheetId="10" hidden="1">'060421 For Trustees Prior Year '!$G$1</definedName>
    <definedName name="QB_COLUMN_2921" localSheetId="9" hidden="1">'Ad Downloaded 042822'!$H$1</definedName>
    <definedName name="QB_COLUMN_2921" localSheetId="1" hidden="1">'App Bud for Input'!$Q$1</definedName>
    <definedName name="QB_COLUMN_2921" localSheetId="0" hidden="1">'Approved Budget'!$Q$1</definedName>
    <definedName name="QB_COLUMN_2921" localSheetId="5" hidden="1">'For Trustee 061422'!$Q$1</definedName>
    <definedName name="QB_COLUMN_2921" localSheetId="7" hidden="1">'For Trustees 050522'!$Q$1</definedName>
    <definedName name="QB_COLUMN_2921" localSheetId="2" hidden="1">'For Trustees 071222 '!$Q$1</definedName>
    <definedName name="QB_COLUMN_2921" localSheetId="8" hidden="1">'Working Copy 050522'!$Q$1</definedName>
    <definedName name="QB_COLUMN_2921" localSheetId="6" hidden="1">'Working Copy 061422'!$Q$1</definedName>
    <definedName name="QB_COLUMN_2921" localSheetId="3" hidden="1">'Working Copy 071222'!$Q$1</definedName>
    <definedName name="QB_COLUMN_29210" localSheetId="10" hidden="1">'060421 For Trustees Prior Year '!$P$1</definedName>
    <definedName name="QB_COLUMN_29210" localSheetId="9" hidden="1">'Ad Downloaded 042822'!$Q$1</definedName>
    <definedName name="QB_COLUMN_29210" localSheetId="1" hidden="1">'App Bud for Input'!$N$1</definedName>
    <definedName name="QB_COLUMN_29210" localSheetId="0" hidden="1">'Approved Budget'!$N$1</definedName>
    <definedName name="QB_COLUMN_29210" localSheetId="5" hidden="1">'For Trustee 061422'!$N$1</definedName>
    <definedName name="QB_COLUMN_29210" localSheetId="7" hidden="1">'For Trustees 050522'!$N$1</definedName>
    <definedName name="QB_COLUMN_29210" localSheetId="2" hidden="1">'For Trustees 071222 '!$N$1</definedName>
    <definedName name="QB_COLUMN_29210" localSheetId="8" hidden="1">'Working Copy 050522'!$N$1</definedName>
    <definedName name="QB_COLUMN_29210" localSheetId="6" hidden="1">'Working Copy 061422'!$N$1</definedName>
    <definedName name="QB_COLUMN_29210" localSheetId="3" hidden="1">'Working Copy 071222'!$N$1</definedName>
    <definedName name="QB_COLUMN_29211" localSheetId="10" hidden="1">'060421 For Trustees Prior Year '!$Q$1</definedName>
    <definedName name="QB_COLUMN_29211" localSheetId="9" hidden="1">'Ad Downloaded 042822'!$R$1</definedName>
    <definedName name="QB_COLUMN_29211" localSheetId="1" hidden="1">'App Bud for Input'!$O$1</definedName>
    <definedName name="QB_COLUMN_29211" localSheetId="0" hidden="1">'Approved Budget'!$O$1</definedName>
    <definedName name="QB_COLUMN_29211" localSheetId="5" hidden="1">'For Trustee 061422'!$O$1</definedName>
    <definedName name="QB_COLUMN_29211" localSheetId="7" hidden="1">'For Trustees 050522'!$O$1</definedName>
    <definedName name="QB_COLUMN_29211" localSheetId="2" hidden="1">'For Trustees 071222 '!$O$1</definedName>
    <definedName name="QB_COLUMN_29211" localSheetId="8" hidden="1">'Working Copy 050522'!$O$1</definedName>
    <definedName name="QB_COLUMN_29211" localSheetId="6" hidden="1">'Working Copy 061422'!$O$1</definedName>
    <definedName name="QB_COLUMN_29211" localSheetId="3" hidden="1">'Working Copy 071222'!$O$1</definedName>
    <definedName name="QB_COLUMN_29212" localSheetId="10" hidden="1">'060421 For Trustees Prior Year '!$R$1</definedName>
    <definedName name="QB_COLUMN_29212" localSheetId="9" hidden="1">'Ad Downloaded 042822'!$S$1</definedName>
    <definedName name="QB_COLUMN_29212" localSheetId="1" hidden="1">'App Bud for Input'!$T$1</definedName>
    <definedName name="QB_COLUMN_29212" localSheetId="0" hidden="1">'Approved Budget'!$T$1</definedName>
    <definedName name="QB_COLUMN_29212" localSheetId="5" hidden="1">'For Trustee 061422'!$T$1</definedName>
    <definedName name="QB_COLUMN_29212" localSheetId="7" hidden="1">'For Trustees 050522'!$T$1</definedName>
    <definedName name="QB_COLUMN_29212" localSheetId="2" hidden="1">'For Trustees 071222 '!$T$1</definedName>
    <definedName name="QB_COLUMN_29212" localSheetId="8" hidden="1">'Working Copy 050522'!$T$1</definedName>
    <definedName name="QB_COLUMN_29212" localSheetId="6" hidden="1">'Working Copy 061422'!$T$1</definedName>
    <definedName name="QB_COLUMN_29212" localSheetId="3" hidden="1">'Working Copy 071222'!$T$1</definedName>
    <definedName name="QB_COLUMN_29213" localSheetId="10" hidden="1">'060421 For Trustees Prior Year '!$W$1</definedName>
    <definedName name="QB_COLUMN_2922" localSheetId="10" hidden="1">'060421 For Trustees Prior Year '!$H$1</definedName>
    <definedName name="QB_COLUMN_2922" localSheetId="9" hidden="1">'Ad Downloaded 042822'!$I$1</definedName>
    <definedName name="QB_COLUMN_2922" localSheetId="1" hidden="1">'App Bud for Input'!$R$1</definedName>
    <definedName name="QB_COLUMN_2922" localSheetId="0" hidden="1">'Approved Budget'!$R$1</definedName>
    <definedName name="QB_COLUMN_2922" localSheetId="5" hidden="1">'For Trustee 061422'!$R$1</definedName>
    <definedName name="QB_COLUMN_2922" localSheetId="7" hidden="1">'For Trustees 050522'!$R$1</definedName>
    <definedName name="QB_COLUMN_2922" localSheetId="2" hidden="1">'For Trustees 071222 '!$R$1</definedName>
    <definedName name="QB_COLUMN_2922" localSheetId="8" hidden="1">'Working Copy 050522'!$R$1</definedName>
    <definedName name="QB_COLUMN_2922" localSheetId="6" hidden="1">'Working Copy 061422'!$R$1</definedName>
    <definedName name="QB_COLUMN_2922" localSheetId="3" hidden="1">'Working Copy 071222'!$R$1</definedName>
    <definedName name="QB_COLUMN_2923" localSheetId="10" hidden="1">'060421 For Trustees Prior Year '!$I$1</definedName>
    <definedName name="QB_COLUMN_2923" localSheetId="9" hidden="1">'Ad Downloaded 042822'!$J$1</definedName>
    <definedName name="QB_COLUMN_2923" localSheetId="1" hidden="1">'App Bud for Input'!$S$1</definedName>
    <definedName name="QB_COLUMN_2923" localSheetId="0" hidden="1">'Approved Budget'!$S$1</definedName>
    <definedName name="QB_COLUMN_2923" localSheetId="5" hidden="1">'For Trustee 061422'!$S$1</definedName>
    <definedName name="QB_COLUMN_2923" localSheetId="7" hidden="1">'For Trustees 050522'!$S$1</definedName>
    <definedName name="QB_COLUMN_2923" localSheetId="2" hidden="1">'For Trustees 071222 '!$S$1</definedName>
    <definedName name="QB_COLUMN_2923" localSheetId="8" hidden="1">'Working Copy 050522'!$S$1</definedName>
    <definedName name="QB_COLUMN_2923" localSheetId="6" hidden="1">'Working Copy 061422'!$S$1</definedName>
    <definedName name="QB_COLUMN_2923" localSheetId="3" hidden="1">'Working Copy 071222'!$S$1</definedName>
    <definedName name="QB_COLUMN_2924" localSheetId="10" hidden="1">'060421 For Trustees Prior Year '!$J$1</definedName>
    <definedName name="QB_COLUMN_2924" localSheetId="9" hidden="1">'Ad Downloaded 042822'!$K$1</definedName>
    <definedName name="QB_COLUMN_2924" localSheetId="1" hidden="1">'App Bud for Input'!$H$1</definedName>
    <definedName name="QB_COLUMN_2924" localSheetId="0" hidden="1">'Approved Budget'!$H$1</definedName>
    <definedName name="QB_COLUMN_2924" localSheetId="5" hidden="1">'For Trustee 061422'!$H$1</definedName>
    <definedName name="QB_COLUMN_2924" localSheetId="7" hidden="1">'For Trustees 050522'!$H$1</definedName>
    <definedName name="QB_COLUMN_2924" localSheetId="2" hidden="1">'For Trustees 071222 '!$H$1</definedName>
    <definedName name="QB_COLUMN_2924" localSheetId="8" hidden="1">'Working Copy 050522'!$H$1</definedName>
    <definedName name="QB_COLUMN_2924" localSheetId="6" hidden="1">'Working Copy 061422'!$H$1</definedName>
    <definedName name="QB_COLUMN_2924" localSheetId="3" hidden="1">'Working Copy 071222'!$H$1</definedName>
    <definedName name="QB_COLUMN_2925" localSheetId="10" hidden="1">'060421 For Trustees Prior Year '!$K$1</definedName>
    <definedName name="QB_COLUMN_2925" localSheetId="9" hidden="1">'Ad Downloaded 042822'!$L$1</definedName>
    <definedName name="QB_COLUMN_2925" localSheetId="1" hidden="1">'App Bud for Input'!$I$1</definedName>
    <definedName name="QB_COLUMN_2925" localSheetId="0" hidden="1">'Approved Budget'!$I$1</definedName>
    <definedName name="QB_COLUMN_2925" localSheetId="5" hidden="1">'For Trustee 061422'!$I$1</definedName>
    <definedName name="QB_COLUMN_2925" localSheetId="7" hidden="1">'For Trustees 050522'!$I$1</definedName>
    <definedName name="QB_COLUMN_2925" localSheetId="2" hidden="1">'For Trustees 071222 '!$I$1</definedName>
    <definedName name="QB_COLUMN_2925" localSheetId="8" hidden="1">'Working Copy 050522'!$I$1</definedName>
    <definedName name="QB_COLUMN_2925" localSheetId="6" hidden="1">'Working Copy 061422'!$I$1</definedName>
    <definedName name="QB_COLUMN_2925" localSheetId="3" hidden="1">'Working Copy 071222'!$I$1</definedName>
    <definedName name="QB_COLUMN_2926" localSheetId="10" hidden="1">'060421 For Trustees Prior Year '!$L$1</definedName>
    <definedName name="QB_COLUMN_2926" localSheetId="9" hidden="1">'Ad Downloaded 042822'!$M$1</definedName>
    <definedName name="QB_COLUMN_2926" localSheetId="1" hidden="1">'App Bud for Input'!$J$1</definedName>
    <definedName name="QB_COLUMN_2926" localSheetId="0" hidden="1">'Approved Budget'!$J$1</definedName>
    <definedName name="QB_COLUMN_2926" localSheetId="5" hidden="1">'For Trustee 061422'!$J$1</definedName>
    <definedName name="QB_COLUMN_2926" localSheetId="7" hidden="1">'For Trustees 050522'!$J$1</definedName>
    <definedName name="QB_COLUMN_2926" localSheetId="2" hidden="1">'For Trustees 071222 '!$J$1</definedName>
    <definedName name="QB_COLUMN_2926" localSheetId="8" hidden="1">'Working Copy 050522'!$J$1</definedName>
    <definedName name="QB_COLUMN_2926" localSheetId="6" hidden="1">'Working Copy 061422'!$J$1</definedName>
    <definedName name="QB_COLUMN_2926" localSheetId="3" hidden="1">'Working Copy 071222'!$J$1</definedName>
    <definedName name="QB_COLUMN_2927" localSheetId="10" hidden="1">'060421 For Trustees Prior Year '!$M$1</definedName>
    <definedName name="QB_COLUMN_2927" localSheetId="9" hidden="1">'Ad Downloaded 042822'!$N$1</definedName>
    <definedName name="QB_COLUMN_2927" localSheetId="1" hidden="1">'App Bud for Input'!$K$1</definedName>
    <definedName name="QB_COLUMN_2927" localSheetId="0" hidden="1">'Approved Budget'!$K$1</definedName>
    <definedName name="QB_COLUMN_2927" localSheetId="5" hidden="1">'For Trustee 061422'!$K$1</definedName>
    <definedName name="QB_COLUMN_2927" localSheetId="7" hidden="1">'For Trustees 050522'!$K$1</definedName>
    <definedName name="QB_COLUMN_2927" localSheetId="2" hidden="1">'For Trustees 071222 '!$K$1</definedName>
    <definedName name="QB_COLUMN_2927" localSheetId="8" hidden="1">'Working Copy 050522'!$K$1</definedName>
    <definedName name="QB_COLUMN_2927" localSheetId="6" hidden="1">'Working Copy 061422'!$K$1</definedName>
    <definedName name="QB_COLUMN_2927" localSheetId="3" hidden="1">'Working Copy 071222'!$K$1</definedName>
    <definedName name="QB_COLUMN_2928" localSheetId="10" hidden="1">'060421 For Trustees Prior Year '!$N$1</definedName>
    <definedName name="QB_COLUMN_2928" localSheetId="9" hidden="1">'Ad Downloaded 042822'!$O$1</definedName>
    <definedName name="QB_COLUMN_2928" localSheetId="1" hidden="1">'App Bud for Input'!$L$1</definedName>
    <definedName name="QB_COLUMN_2928" localSheetId="0" hidden="1">'Approved Budget'!$L$1</definedName>
    <definedName name="QB_COLUMN_2928" localSheetId="5" hidden="1">'For Trustee 061422'!$L$1</definedName>
    <definedName name="QB_COLUMN_2928" localSheetId="7" hidden="1">'For Trustees 050522'!$L$1</definedName>
    <definedName name="QB_COLUMN_2928" localSheetId="2" hidden="1">'For Trustees 071222 '!$L$1</definedName>
    <definedName name="QB_COLUMN_2928" localSheetId="8" hidden="1">'Working Copy 050522'!$L$1</definedName>
    <definedName name="QB_COLUMN_2928" localSheetId="6" hidden="1">'Working Copy 061422'!$L$1</definedName>
    <definedName name="QB_COLUMN_2928" localSheetId="3" hidden="1">'Working Copy 071222'!$L$1</definedName>
    <definedName name="QB_COLUMN_2929" localSheetId="10" hidden="1">'060421 For Trustees Prior Year '!$O$1</definedName>
    <definedName name="QB_COLUMN_2929" localSheetId="9" hidden="1">'Ad Downloaded 042822'!$P$1</definedName>
    <definedName name="QB_COLUMN_2929" localSheetId="1" hidden="1">'App Bud for Input'!$M$1</definedName>
    <definedName name="QB_COLUMN_2929" localSheetId="0" hidden="1">'Approved Budget'!$M$1</definedName>
    <definedName name="QB_COLUMN_2929" localSheetId="5" hidden="1">'For Trustee 061422'!$M$1</definedName>
    <definedName name="QB_COLUMN_2929" localSheetId="7" hidden="1">'For Trustees 050522'!$M$1</definedName>
    <definedName name="QB_COLUMN_2929" localSheetId="2" hidden="1">'For Trustees 071222 '!$M$1</definedName>
    <definedName name="QB_COLUMN_2929" localSheetId="8" hidden="1">'Working Copy 050522'!$M$1</definedName>
    <definedName name="QB_COLUMN_2929" localSheetId="6" hidden="1">'Working Copy 061422'!$M$1</definedName>
    <definedName name="QB_COLUMN_2929" localSheetId="3" hidden="1">'Working Copy 071222'!$M$1</definedName>
    <definedName name="QB_COLUMN_2930" localSheetId="10" hidden="1">'060421 For Trustees Prior Year '!$X$1</definedName>
    <definedName name="QB_COLUMN_2930" localSheetId="9" hidden="1">'Ad Downloaded 042822'!$T$1</definedName>
    <definedName name="QB_COLUMN_2930" localSheetId="1" hidden="1">'App Bud for Input'!$U$1</definedName>
    <definedName name="QB_COLUMN_2930" localSheetId="0" hidden="1">'Approved Budget'!$U$1</definedName>
    <definedName name="QB_COLUMN_2930" localSheetId="5" hidden="1">'For Trustee 061422'!$U$1</definedName>
    <definedName name="QB_COLUMN_2930" localSheetId="7" hidden="1">'For Trustees 050522'!$U$1</definedName>
    <definedName name="QB_COLUMN_2930" localSheetId="2" hidden="1">'For Trustees 071222 '!$U$1</definedName>
    <definedName name="QB_COLUMN_2930" localSheetId="8" hidden="1">'Working Copy 050522'!$U$1</definedName>
    <definedName name="QB_COLUMN_2930" localSheetId="6" hidden="1">'Working Copy 061422'!$U$1</definedName>
    <definedName name="QB_COLUMN_2930" localSheetId="3" hidden="1">'Working Copy 071222'!$U$1</definedName>
    <definedName name="QB_DATA_0" localSheetId="10" hidden="1">'060421 For Trustees Prior Year '!$5:$5,'060421 For Trustees Prior Year '!$6:$6,'060421 For Trustees Prior Year '!$7:$7,'060421 For Trustees Prior Year '!$8:$8,'060421 For Trustees Prior Year '!$9:$9,'060421 For Trustees Prior Year '!$10:$10,'060421 For Trustees Prior Year '!$11:$11,'060421 For Trustees Prior Year '!$12:$12,'060421 For Trustees Prior Year '!$13:$13,'060421 For Trustees Prior Year '!$16:$16,'060421 For Trustees Prior Year '!$17:$17,'060421 For Trustees Prior Year '!$18:$18,'060421 For Trustees Prior Year '!$19:$19,'060421 For Trustees Prior Year '!$20:$20,'060421 For Trustees Prior Year '!$23:$23,'060421 For Trustees Prior Year '!$24:$24</definedName>
    <definedName name="QB_DATA_0" localSheetId="9" hidden="1">'Ad Downloaded 042822'!$5:$5,'Ad Downloaded 042822'!$6:$6,'Ad Downloaded 042822'!$7:$7,'Ad Downloaded 042822'!$8:$8,'Ad Downloaded 042822'!$9:$9,'Ad Downloaded 042822'!$10:$10,'Ad Downloaded 042822'!$11:$11,'Ad Downloaded 042822'!$12:$12,'Ad Downloaded 042822'!$13:$13,'Ad Downloaded 042822'!$14:$14,'Ad Downloaded 042822'!$17:$17,'Ad Downloaded 042822'!$18:$18,'Ad Downloaded 042822'!$19:$19,'Ad Downloaded 042822'!$20:$20,'Ad Downloaded 042822'!$21:$21,'Ad Downloaded 042822'!$24:$24</definedName>
    <definedName name="QB_DATA_0" localSheetId="1" hidden="1">'App Bud for Input'!$5:$5,'App Bud for Input'!$6:$6,'App Bud for Input'!$7:$7,'App Bud for Input'!$8:$8,'App Bud for Input'!$9:$9,'App Bud for Input'!$10:$10,'App Bud for Input'!$11:$11,'App Bud for Input'!$12:$12,'App Bud for Input'!$13:$13,'App Bud for Input'!$14:$14,'App Bud for Input'!$17:$17,'App Bud for Input'!$18:$18,'App Bud for Input'!$19:$19,'App Bud for Input'!$20:$20,'App Bud for Input'!$21:$21,'App Bud for Input'!$24:$24</definedName>
    <definedName name="QB_DATA_0" localSheetId="0" hidden="1">'Approved Budget'!$5:$5,'Approved Budget'!$6:$6,'Approved Budget'!$7:$7,'Approved Budget'!$8:$8,'Approved Budget'!$9:$9,'Approved Budget'!$10:$10,'Approved Budget'!$11:$11,'Approved Budget'!$12:$12,'Approved Budget'!$13:$13,'Approved Budget'!$14:$14,'Approved Budget'!$17:$17,'Approved Budget'!$18:$18,'Approved Budget'!$19:$19,'Approved Budget'!$20:$20,'Approved Budget'!$21:$21,'Approved Budget'!$24:$24</definedName>
    <definedName name="QB_DATA_0" localSheetId="5" hidden="1">'For Trustee 061422'!$5:$5,'For Trustee 061422'!$6:$6,'For Trustee 061422'!$7:$7,'For Trustee 061422'!$8:$8,'For Trustee 061422'!$9:$9,'For Trustee 061422'!$10:$10,'For Trustee 061422'!$11:$11,'For Trustee 061422'!$12:$12,'For Trustee 061422'!$13:$13,'For Trustee 061422'!$14:$14,'For Trustee 061422'!$17:$17,'For Trustee 061422'!$18:$18,'For Trustee 061422'!$19:$19,'For Trustee 061422'!$20:$20,'For Trustee 061422'!$21:$21,'For Trustee 061422'!$24:$24</definedName>
    <definedName name="QB_DATA_0" localSheetId="7" hidden="1">'For Trustees 050522'!$5:$5,'For Trustees 050522'!$6:$6,'For Trustees 050522'!$7:$7,'For Trustees 050522'!$8:$8,'For Trustees 050522'!$9:$9,'For Trustees 050522'!$10:$10,'For Trustees 050522'!$11:$11,'For Trustees 050522'!$12:$12,'For Trustees 050522'!$13:$13,'For Trustees 050522'!$14:$14,'For Trustees 050522'!$17:$17,'For Trustees 050522'!$18:$18,'For Trustees 050522'!$19:$19,'For Trustees 050522'!$20:$20,'For Trustees 050522'!$21:$21,'For Trustees 050522'!$24:$24</definedName>
    <definedName name="QB_DATA_0" localSheetId="2" hidden="1">'For Trustees 071222 '!$5:$5,'For Trustees 071222 '!$6:$6,'For Trustees 071222 '!$7:$7,'For Trustees 071222 '!$8:$8,'For Trustees 071222 '!$9:$9,'For Trustees 071222 '!$10:$10,'For Trustees 071222 '!$11:$11,'For Trustees 071222 '!$12:$12,'For Trustees 071222 '!$13:$13,'For Trustees 071222 '!$14:$14,'For Trustees 071222 '!$17:$17,'For Trustees 071222 '!$18:$18,'For Trustees 071222 '!$19:$19,'For Trustees 071222 '!$20:$20,'For Trustees 071222 '!$21:$21,'For Trustees 071222 '!$24:$24</definedName>
    <definedName name="QB_DATA_0" localSheetId="8" hidden="1">'Working Copy 050522'!$5:$5,'Working Copy 050522'!$6:$6,'Working Copy 050522'!$7:$7,'Working Copy 050522'!$8:$8,'Working Copy 050522'!$9:$9,'Working Copy 050522'!$10:$10,'Working Copy 050522'!$11:$11,'Working Copy 050522'!$12:$12,'Working Copy 050522'!$13:$13,'Working Copy 050522'!$14:$14,'Working Copy 050522'!$17:$17,'Working Copy 050522'!$18:$18,'Working Copy 050522'!$19:$19,'Working Copy 050522'!$20:$20,'Working Copy 050522'!$21:$21,'Working Copy 050522'!$24:$24</definedName>
    <definedName name="QB_DATA_0" localSheetId="6" hidden="1">'Working Copy 061422'!$5:$5,'Working Copy 061422'!$6:$6,'Working Copy 061422'!$7:$7,'Working Copy 061422'!$8:$8,'Working Copy 061422'!$9:$9,'Working Copy 061422'!$10:$10,'Working Copy 061422'!$11:$11,'Working Copy 061422'!$12:$12,'Working Copy 061422'!$13:$13,'Working Copy 061422'!$14:$14,'Working Copy 061422'!$17:$17,'Working Copy 061422'!$18:$18,'Working Copy 061422'!$19:$19,'Working Copy 061422'!$20:$20,'Working Copy 061422'!$21:$21,'Working Copy 061422'!$24:$24</definedName>
    <definedName name="QB_DATA_0" localSheetId="3" hidden="1">'Working Copy 071222'!$5:$5,'Working Copy 071222'!$6:$6,'Working Copy 071222'!$7:$7,'Working Copy 071222'!$8:$8,'Working Copy 071222'!$9:$9,'Working Copy 071222'!$10:$10,'Working Copy 071222'!$11:$11,'Working Copy 071222'!$12:$12,'Working Copy 071222'!$13:$13,'Working Copy 071222'!$14:$14,'Working Copy 071222'!$17:$17,'Working Copy 071222'!$18:$18,'Working Copy 071222'!$19:$19,'Working Copy 071222'!$20:$20,'Working Copy 071222'!$21:$21,'Working Copy 071222'!$24:$24</definedName>
    <definedName name="QB_DATA_1" localSheetId="10" hidden="1">'060421 For Trustees Prior Year '!$25:$25,'060421 For Trustees Prior Year '!$26:$26,'060421 For Trustees Prior Year '!$27:$27,'060421 For Trustees Prior Year '!$28:$28,'060421 For Trustees Prior Year '!$29:$29,'060421 For Trustees Prior Year '!$30:$30,'060421 For Trustees Prior Year '!$31:$31,'060421 For Trustees Prior Year '!$32:$32,'060421 For Trustees Prior Year '!$36:$36,'060421 For Trustees Prior Year '!$42:$42,'060421 For Trustees Prior Year '!$45:$45,'060421 For Trustees Prior Year '!$46:$46,'060421 For Trustees Prior Year '!$51:$51,'060421 For Trustees Prior Year '!$52:$52,'060421 For Trustees Prior Year '!$55:$55,'060421 For Trustees Prior Year '!$56:$56</definedName>
    <definedName name="QB_DATA_1" localSheetId="9" hidden="1">'Ad Downloaded 042822'!$25:$25,'Ad Downloaded 042822'!$26:$26,'Ad Downloaded 042822'!$27:$27,'Ad Downloaded 042822'!$28:$28,'Ad Downloaded 042822'!$29:$29,'Ad Downloaded 042822'!$30:$30,'Ad Downloaded 042822'!$31:$31,'Ad Downloaded 042822'!$32:$32,'Ad Downloaded 042822'!$36:$36,'Ad Downloaded 042822'!$42:$42,'Ad Downloaded 042822'!$43:$43,'Ad Downloaded 042822'!$44:$44,'Ad Downloaded 042822'!$45:$45,'Ad Downloaded 042822'!$48:$48,'Ad Downloaded 042822'!$51:$51,'Ad Downloaded 042822'!$52:$52</definedName>
    <definedName name="QB_DATA_1" localSheetId="1" hidden="1">'App Bud for Input'!$25:$25,'App Bud for Input'!$26:$26,'App Bud for Input'!$27:$27,'App Bud for Input'!$28:$28,'App Bud for Input'!$29:$29,'App Bud for Input'!$31:$31,'App Bud for Input'!$32:$32,'App Bud for Input'!$33:$33,'App Bud for Input'!$37:$37,'App Bud for Input'!$43:$43,'App Bud for Input'!$44:$44,'App Bud for Input'!$45:$45,'App Bud for Input'!$46:$46,'App Bud for Input'!$51:$51,'App Bud for Input'!$54:$54,'App Bud for Input'!$55:$55</definedName>
    <definedName name="QB_DATA_1" localSheetId="0" hidden="1">'Approved Budget'!$25:$25,'Approved Budget'!$26:$26,'Approved Budget'!$27:$27,'Approved Budget'!$28:$28,'Approved Budget'!$29:$29,'Approved Budget'!$31:$31,'Approved Budget'!$32:$32,'Approved Budget'!$33:$33,'Approved Budget'!$37:$37,'Approved Budget'!$43:$43,'Approved Budget'!$44:$44,'Approved Budget'!$45:$45,'Approved Budget'!$46:$46,'Approved Budget'!$51:$51,'Approved Budget'!$54:$54,'Approved Budget'!$55:$55</definedName>
    <definedName name="QB_DATA_1" localSheetId="5" hidden="1">'For Trustee 061422'!$25:$25,'For Trustee 061422'!$26:$26,'For Trustee 061422'!$27:$27,'For Trustee 061422'!$28:$28,'For Trustee 061422'!$29:$29,'For Trustee 061422'!$31:$31,'For Trustee 061422'!$32:$32,'For Trustee 061422'!$33:$33,'For Trustee 061422'!$37:$37,'For Trustee 061422'!$43:$43,'For Trustee 061422'!$44:$44,'For Trustee 061422'!$45:$45,'For Trustee 061422'!$46:$46,'For Trustee 061422'!$51:$51,'For Trustee 061422'!$54:$54,'For Trustee 061422'!$55:$55</definedName>
    <definedName name="QB_DATA_1" localSheetId="7" hidden="1">'For Trustees 050522'!$25:$25,'For Trustees 050522'!$26:$26,'For Trustees 050522'!$27:$27,'For Trustees 050522'!$28:$28,'For Trustees 050522'!$29:$29,'For Trustees 050522'!$31:$31,'For Trustees 050522'!$32:$32,'For Trustees 050522'!$33:$33,'For Trustees 050522'!$37:$37,'For Trustees 050522'!$43:$43,'For Trustees 050522'!$44:$44,'For Trustees 050522'!$45:$45,'For Trustees 050522'!$46:$46,'For Trustees 050522'!$51:$51,'For Trustees 050522'!$54:$54,'For Trustees 050522'!$55:$55</definedName>
    <definedName name="QB_DATA_1" localSheetId="2" hidden="1">'For Trustees 071222 '!$25:$25,'For Trustees 071222 '!$26:$26,'For Trustees 071222 '!$27:$27,'For Trustees 071222 '!$28:$28,'For Trustees 071222 '!$29:$29,'For Trustees 071222 '!$31:$31,'For Trustees 071222 '!$32:$32,'For Trustees 071222 '!$33:$33,'For Trustees 071222 '!$37:$37,'For Trustees 071222 '!$43:$43,'For Trustees 071222 '!$44:$44,'For Trustees 071222 '!$45:$45,'For Trustees 071222 '!$46:$46,'For Trustees 071222 '!$51:$51,'For Trustees 071222 '!$54:$54,'For Trustees 071222 '!$55:$55</definedName>
    <definedName name="QB_DATA_1" localSheetId="8" hidden="1">'Working Copy 050522'!$25:$25,'Working Copy 050522'!$26:$26,'Working Copy 050522'!$27:$27,'Working Copy 050522'!$28:$28,'Working Copy 050522'!$29:$29,'Working Copy 050522'!$31:$31,'Working Copy 050522'!$32:$32,'Working Copy 050522'!$33:$33,'Working Copy 050522'!$37:$37,'Working Copy 050522'!$43:$43,'Working Copy 050522'!$44:$44,'Working Copy 050522'!$45:$45,'Working Copy 050522'!$46:$46,'Working Copy 050522'!$49:$49,'Working Copy 050522'!$52:$52,'Working Copy 050522'!$53:$53</definedName>
    <definedName name="QB_DATA_1" localSheetId="6" hidden="1">'Working Copy 061422'!$25:$25,'Working Copy 061422'!$26:$26,'Working Copy 061422'!$27:$27,'Working Copy 061422'!$28:$28,'Working Copy 061422'!$29:$29,'Working Copy 061422'!$31:$31,'Working Copy 061422'!$32:$32,'Working Copy 061422'!$33:$33,'Working Copy 061422'!$37:$37,'Working Copy 061422'!$43:$43,'Working Copy 061422'!$44:$44,'Working Copy 061422'!$45:$45,'Working Copy 061422'!$46:$46,'Working Copy 061422'!$51:$51,'Working Copy 061422'!$54:$54,'Working Copy 061422'!$55:$55</definedName>
    <definedName name="QB_DATA_1" localSheetId="3" hidden="1">'Working Copy 071222'!$25:$25,'Working Copy 071222'!$26:$26,'Working Copy 071222'!$27:$27,'Working Copy 071222'!$28:$28,'Working Copy 071222'!$29:$29,'Working Copy 071222'!$31:$31,'Working Copy 071222'!$32:$32,'Working Copy 071222'!$33:$33,'Working Copy 071222'!$37:$37,'Working Copy 071222'!$43:$43,'Working Copy 071222'!$44:$44,'Working Copy 071222'!$45:$45,'Working Copy 071222'!$46:$46,'Working Copy 071222'!$51:$51,'Working Copy 071222'!$54:$54,'Working Copy 071222'!$55:$55</definedName>
    <definedName name="QB_DATA_2" localSheetId="10" hidden="1">'060421 For Trustees Prior Year '!$59:$59,'060421 For Trustees Prior Year '!$60:$60,'060421 For Trustees Prior Year '!$61:$61,'060421 For Trustees Prior Year '!$64:$64,'060421 For Trustees Prior Year '!$66:$66,'060421 For Trustees Prior Year '!$71:$71,'060421 For Trustees Prior Year '!$72:$72,'060421 For Trustees Prior Year '!$93:$93,'060421 For Trustees Prior Year '!$94:$94,'060421 For Trustees Prior Year '!$95:$95,'060421 For Trustees Prior Year '!$96:$96,'060421 For Trustees Prior Year '!$97:$97,'060421 For Trustees Prior Year '!$98:$98,'060421 For Trustees Prior Year '!$99:$99,'060421 For Trustees Prior Year '!$100:$100,'060421 For Trustees Prior Year '!$101:$101</definedName>
    <definedName name="QB_DATA_2" localSheetId="9" hidden="1">'Ad Downloaded 042822'!$55:$55,'Ad Downloaded 042822'!$56:$56,'Ad Downloaded 042822'!$59:$59,'Ad Downloaded 042822'!$60:$60,'Ad Downloaded 042822'!$61:$61,'Ad Downloaded 042822'!$64:$64,'Ad Downloaded 042822'!$65:$65,'Ad Downloaded 042822'!$70:$70,'Ad Downloaded 042822'!$71:$71,'Ad Downloaded 042822'!$74:$74,'Ad Downloaded 042822'!$75:$75,'Ad Downloaded 042822'!$76:$76,'Ad Downloaded 042822'!$77:$77,'Ad Downloaded 042822'!$78:$78,'Ad Downloaded 042822'!$79:$79,'Ad Downloaded 042822'!$80:$80</definedName>
    <definedName name="QB_DATA_2" localSheetId="1" hidden="1">'App Bud for Input'!$58:$58,'App Bud for Input'!$59:$59,'App Bud for Input'!$62:$62,'App Bud for Input'!$63:$63,'App Bud for Input'!$64:$64,'App Bud for Input'!$67:$67,'App Bud for Input'!$68:$68,'App Bud for Input'!$73:$73,'App Bud for Input'!$74:$74,'App Bud for Input'!$92:$92,'App Bud for Input'!$93:$93,'App Bud for Input'!$94:$94,'App Bud for Input'!$95:$95,'App Bud for Input'!$96:$96,'App Bud for Input'!$97:$97,'App Bud for Input'!$98:$98</definedName>
    <definedName name="QB_DATA_2" localSheetId="0" hidden="1">'Approved Budget'!$58:$58,'Approved Budget'!$59:$59,'Approved Budget'!$62:$62,'Approved Budget'!$63:$63,'Approved Budget'!$64:$64,'Approved Budget'!$67:$67,'Approved Budget'!$68:$68,'Approved Budget'!$73:$73,'Approved Budget'!$74:$74,'Approved Budget'!$92:$92,'Approved Budget'!$93:$93,'Approved Budget'!$94:$94,'Approved Budget'!$95:$95,'Approved Budget'!$96:$96,'Approved Budget'!$97:$97,'Approved Budget'!$98:$98</definedName>
    <definedName name="QB_DATA_2" localSheetId="5" hidden="1">'For Trustee 061422'!$58:$58,'For Trustee 061422'!$59:$59,'For Trustee 061422'!$62:$62,'For Trustee 061422'!$63:$63,'For Trustee 061422'!$64:$64,'For Trustee 061422'!$67:$67,'For Trustee 061422'!$68:$68,'For Trustee 061422'!$73:$73,'For Trustee 061422'!$74:$74,'For Trustee 061422'!$92:$92,'For Trustee 061422'!$93:$93,'For Trustee 061422'!$94:$94,'For Trustee 061422'!$95:$95,'For Trustee 061422'!$96:$96,'For Trustee 061422'!$97:$97,'For Trustee 061422'!$98:$98</definedName>
    <definedName name="QB_DATA_2" localSheetId="7" hidden="1">'For Trustees 050522'!$58:$58,'For Trustees 050522'!$59:$59,'For Trustees 050522'!$62:$62,'For Trustees 050522'!$63:$63,'For Trustees 050522'!$64:$64,'For Trustees 050522'!$67:$67,'For Trustees 050522'!$68:$68,'For Trustees 050522'!$73:$73,'For Trustees 050522'!$74:$74,'For Trustees 050522'!$92:$92,'For Trustees 050522'!$93:$93,'For Trustees 050522'!$94:$94,'For Trustees 050522'!$95:$95,'For Trustees 050522'!$96:$96,'For Trustees 050522'!$97:$97,'For Trustees 050522'!$98:$98</definedName>
    <definedName name="QB_DATA_2" localSheetId="2" hidden="1">'For Trustees 071222 '!$58:$58,'For Trustees 071222 '!$59:$59,'For Trustees 071222 '!$62:$62,'For Trustees 071222 '!$63:$63,'For Trustees 071222 '!$64:$64,'For Trustees 071222 '!$67:$67,'For Trustees 071222 '!$68:$68,'For Trustees 071222 '!$73:$73,'For Trustees 071222 '!$74:$74,'For Trustees 071222 '!$92:$92,'For Trustees 071222 '!$93:$93,'For Trustees 071222 '!$94:$94,'For Trustees 071222 '!$95:$95,'For Trustees 071222 '!$96:$96,'For Trustees 071222 '!$97:$97,'For Trustees 071222 '!$98:$98</definedName>
    <definedName name="QB_DATA_2" localSheetId="8" hidden="1">'Working Copy 050522'!$56:$56,'Working Copy 050522'!$57:$57,'Working Copy 050522'!$60:$60,'Working Copy 050522'!$61:$61,'Working Copy 050522'!$62:$62,'Working Copy 050522'!$65:$65,'Working Copy 050522'!$66:$66,'Working Copy 050522'!$71:$71,'Working Copy 050522'!$72:$72,'Working Copy 050522'!$75:$75,'Working Copy 050522'!$76:$76,'Working Copy 050522'!$77:$77,'Working Copy 050522'!$78:$78,'Working Copy 050522'!$79:$79,'Working Copy 050522'!$80:$80,'Working Copy 050522'!$81:$81</definedName>
    <definedName name="QB_DATA_2" localSheetId="6" hidden="1">'Working Copy 061422'!$58:$58,'Working Copy 061422'!$59:$59,'Working Copy 061422'!$62:$62,'Working Copy 061422'!$63:$63,'Working Copy 061422'!$64:$64,'Working Copy 061422'!$67:$67,'Working Copy 061422'!$68:$68,'Working Copy 061422'!$73:$73,'Working Copy 061422'!$74:$74,'Working Copy 061422'!$92:$92,'Working Copy 061422'!$93:$93,'Working Copy 061422'!$94:$94,'Working Copy 061422'!$95:$95,'Working Copy 061422'!$96:$96,'Working Copy 061422'!$97:$97,'Working Copy 061422'!$98:$98</definedName>
    <definedName name="QB_DATA_2" localSheetId="3" hidden="1">'Working Copy 071222'!$58:$58,'Working Copy 071222'!$59:$59,'Working Copy 071222'!$62:$62,'Working Copy 071222'!$63:$63,'Working Copy 071222'!$64:$64,'Working Copy 071222'!$67:$67,'Working Copy 071222'!$68:$68,'Working Copy 071222'!$73:$73,'Working Copy 071222'!$74:$74,'Working Copy 071222'!$92:$92,'Working Copy 071222'!$93:$93,'Working Copy 071222'!$94:$94,'Working Copy 071222'!$95:$95,'Working Copy 071222'!$96:$96,'Working Copy 071222'!$97:$97,'Working Copy 071222'!$98:$98</definedName>
    <definedName name="QB_DATA_3" localSheetId="10" hidden="1">'060421 For Trustees Prior Year '!$102:$102,'060421 For Trustees Prior Year '!$103:$103,'060421 For Trustees Prior Year '!$104:$104,'060421 For Trustees Prior Year '!$105:$105,'060421 For Trustees Prior Year '!$106:$106,'060421 For Trustees Prior Year '!$107:$107,'060421 For Trustees Prior Year '!$108:$108,'060421 For Trustees Prior Year '!$109:$109,'060421 For Trustees Prior Year '!$110:$110,'060421 For Trustees Prior Year '!$112:$112,'060421 For Trustees Prior Year '!$113:$113,'060421 For Trustees Prior Year '!$114:$114,'060421 For Trustees Prior Year '!$115:$115,'060421 For Trustees Prior Year '!$117:$117,'060421 For Trustees Prior Year '!$118:$118,'060421 For Trustees Prior Year '!$119:$119</definedName>
    <definedName name="QB_DATA_3" localSheetId="9" hidden="1">'Ad Downloaded 042822'!$81:$81,'Ad Downloaded 042822'!$82:$82,'Ad Downloaded 042822'!$83:$83,'Ad Downloaded 042822'!$84:$84,'Ad Downloaded 042822'!$85:$85,'Ad Downloaded 042822'!$86:$86,'Ad Downloaded 042822'!$87:$87,'Ad Downloaded 042822'!$88:$88,'Ad Downloaded 042822'!$89:$89,'Ad Downloaded 042822'!$90:$90,'Ad Downloaded 042822'!$91:$91,'Ad Downloaded 042822'!$92:$92,'Ad Downloaded 042822'!$93:$93,'Ad Downloaded 042822'!$94:$94,'Ad Downloaded 042822'!$95:$95,'Ad Downloaded 042822'!$96:$96</definedName>
    <definedName name="QB_DATA_3" localSheetId="1" hidden="1">'App Bud for Input'!$99:$99,'App Bud for Input'!$100:$100,'App Bud for Input'!$101:$101,'App Bud for Input'!$102:$102,'App Bud for Input'!$103:$103,'App Bud for Input'!$104:$104,'App Bud for Input'!$105:$105,'App Bud for Input'!$106:$106,'App Bud for Input'!$107:$107,'App Bud for Input'!$108:$108,'App Bud for Input'!$109:$109,'App Bud for Input'!$110:$110,'App Bud for Input'!$111:$111,'App Bud for Input'!$112:$112,'App Bud for Input'!$113:$113,'App Bud for Input'!$114:$114</definedName>
    <definedName name="QB_DATA_3" localSheetId="0" hidden="1">'Approved Budget'!$99:$99,'Approved Budget'!$100:$100,'Approved Budget'!$101:$101,'Approved Budget'!$102:$102,'Approved Budget'!$103:$103,'Approved Budget'!$104:$104,'Approved Budget'!$105:$105,'Approved Budget'!$106:$106,'Approved Budget'!$107:$107,'Approved Budget'!$108:$108,'Approved Budget'!$109:$109,'Approved Budget'!$110:$110,'Approved Budget'!$111:$111,'Approved Budget'!$112:$112,'Approved Budget'!$113:$113,'Approved Budget'!$114:$114</definedName>
    <definedName name="QB_DATA_3" localSheetId="5" hidden="1">'For Trustee 061422'!$99:$99,'For Trustee 061422'!$100:$100,'For Trustee 061422'!$101:$101,'For Trustee 061422'!$102:$102,'For Trustee 061422'!$103:$103,'For Trustee 061422'!$104:$104,'For Trustee 061422'!$105:$105,'For Trustee 061422'!$106:$106,'For Trustee 061422'!$107:$107,'For Trustee 061422'!$108:$108,'For Trustee 061422'!$109:$109,'For Trustee 061422'!$110:$110,'For Trustee 061422'!$111:$111,'For Trustee 061422'!$112:$112,'For Trustee 061422'!$113:$113,'For Trustee 061422'!$114:$114</definedName>
    <definedName name="QB_DATA_3" localSheetId="7" hidden="1">'For Trustees 050522'!$99:$99,'For Trustees 050522'!$100:$100,'For Trustees 050522'!$101:$101,'For Trustees 050522'!$102:$102,'For Trustees 050522'!$103:$103,'For Trustees 050522'!$104:$104,'For Trustees 050522'!$105:$105,'For Trustees 050522'!$106:$106,'For Trustees 050522'!$107:$107,'For Trustees 050522'!$108:$108,'For Trustees 050522'!$109:$109,'For Trustees 050522'!$110:$110,'For Trustees 050522'!$111:$111,'For Trustees 050522'!$112:$112,'For Trustees 050522'!$113:$113,'For Trustees 050522'!$114:$114</definedName>
    <definedName name="QB_DATA_3" localSheetId="2" hidden="1">'For Trustees 071222 '!$99:$99,'For Trustees 071222 '!$100:$100,'For Trustees 071222 '!$101:$101,'For Trustees 071222 '!$102:$102,'For Trustees 071222 '!$103:$103,'For Trustees 071222 '!$104:$104,'For Trustees 071222 '!$105:$105,'For Trustees 071222 '!$106:$106,'For Trustees 071222 '!$107:$107,'For Trustees 071222 '!$108:$108,'For Trustees 071222 '!$109:$109,'For Trustees 071222 '!$110:$110,'For Trustees 071222 '!$111:$111,'For Trustees 071222 '!$112:$112,'For Trustees 071222 '!$113:$113,'For Trustees 071222 '!$114:$114</definedName>
    <definedName name="QB_DATA_3" localSheetId="8" hidden="1">'Working Copy 050522'!$82:$82,'Working Copy 050522'!$83:$83,'Working Copy 050522'!$84:$84,'Working Copy 050522'!$85:$85,'Working Copy 050522'!$86:$86,'Working Copy 050522'!$87:$87,'Working Copy 050522'!$88:$88,'Working Copy 050522'!$89:$89,'Working Copy 050522'!$90:$90,'Working Copy 050522'!$91:$91,'Working Copy 050522'!$92:$92,'Working Copy 050522'!$93:$93,'Working Copy 050522'!$94:$94,'Working Copy 050522'!$95:$95,'Working Copy 050522'!$96:$96,'Working Copy 050522'!$97:$97</definedName>
    <definedName name="QB_DATA_3" localSheetId="6" hidden="1">'Working Copy 061422'!$99:$99,'Working Copy 061422'!$100:$100,'Working Copy 061422'!$101:$101,'Working Copy 061422'!$102:$102,'Working Copy 061422'!$103:$103,'Working Copy 061422'!$104:$104,'Working Copy 061422'!$105:$105,'Working Copy 061422'!$106:$106,'Working Copy 061422'!$107:$107,'Working Copy 061422'!$108:$108,'Working Copy 061422'!$109:$109,'Working Copy 061422'!$110:$110,'Working Copy 061422'!$111:$111,'Working Copy 061422'!$112:$112,'Working Copy 061422'!$113:$113,'Working Copy 061422'!$114:$114</definedName>
    <definedName name="QB_DATA_3" localSheetId="3" hidden="1">'Working Copy 071222'!$99:$99,'Working Copy 071222'!$100:$100,'Working Copy 071222'!$101:$101,'Working Copy 071222'!$102:$102,'Working Copy 071222'!$103:$103,'Working Copy 071222'!$104:$104,'Working Copy 071222'!$105:$105,'Working Copy 071222'!$106:$106,'Working Copy 071222'!$107:$107,'Working Copy 071222'!$108:$108,'Working Copy 071222'!$109:$109,'Working Copy 071222'!$110:$110,'Working Copy 071222'!$111:$111,'Working Copy 071222'!$112:$112,'Working Copy 071222'!$113:$113,'Working Copy 071222'!$114:$114</definedName>
    <definedName name="QB_DATA_4" localSheetId="10" hidden="1">'060421 For Trustees Prior Year '!$120:$120,'060421 For Trustees Prior Year '!$121:$121,'060421 For Trustees Prior Year '!$122:$122,'060421 For Trustees Prior Year '!$123:$123,'060421 For Trustees Prior Year '!$137:$137,'060421 For Trustees Prior Year '!$138:$138,'060421 For Trustees Prior Year '!$139:$139,'060421 For Trustees Prior Year '!$140:$140,'060421 For Trustees Prior Year '!$141:$141,'060421 For Trustees Prior Year '!$142:$142,'060421 For Trustees Prior Year '!$144:$144,'060421 For Trustees Prior Year '!$145:$145,'060421 For Trustees Prior Year '!$146:$146,'060421 For Trustees Prior Year '!$147:$147,'060421 For Trustees Prior Year '!$152:$152,'060421 For Trustees Prior Year '!$154:$154</definedName>
    <definedName name="QB_DATA_4" localSheetId="9" hidden="1">'Ad Downloaded 042822'!$97:$97,'Ad Downloaded 042822'!$98:$98,'Ad Downloaded 042822'!$99:$99,'Ad Downloaded 042822'!$100:$100,'Ad Downloaded 042822'!$101:$101,'Ad Downloaded 042822'!$102:$102,'Ad Downloaded 042822'!$105:$105,'Ad Downloaded 042822'!$106:$106,'Ad Downloaded 042822'!$107:$107,'Ad Downloaded 042822'!$108:$108,'Ad Downloaded 042822'!$109:$109,'Ad Downloaded 042822'!$110:$110,'Ad Downloaded 042822'!$111:$111,'Ad Downloaded 042822'!$112:$112,'Ad Downloaded 042822'!$113:$113,'Ad Downloaded 042822'!$114:$114</definedName>
    <definedName name="QB_DATA_4" localSheetId="1" hidden="1">'App Bud for Input'!$115:$115,'App Bud for Input'!$116:$116,'App Bud for Input'!$117:$117,'App Bud for Input'!$118:$118,'App Bud for Input'!$119:$119,'App Bud for Input'!$120:$120,'App Bud for Input'!$123:$123,'App Bud for Input'!$124:$124,'App Bud for Input'!$136:$136,'App Bud for Input'!$137:$137,'App Bud for Input'!$138:$138,'App Bud for Input'!$139:$139,'App Bud for Input'!$140:$140,'App Bud for Input'!$141:$141,'App Bud for Input'!$142:$142,'App Bud for Input'!$143:$143</definedName>
    <definedName name="QB_DATA_4" localSheetId="0" hidden="1">'Approved Budget'!$115:$115,'Approved Budget'!$116:$116,'Approved Budget'!$117:$117,'Approved Budget'!$118:$118,'Approved Budget'!$119:$119,'Approved Budget'!$120:$120,'Approved Budget'!$123:$123,'Approved Budget'!$124:$124,'Approved Budget'!$136:$136,'Approved Budget'!$137:$137,'Approved Budget'!$138:$138,'Approved Budget'!$139:$139,'Approved Budget'!$140:$140,'Approved Budget'!$141:$141,'Approved Budget'!$142:$142,'Approved Budget'!$143:$143</definedName>
    <definedName name="QB_DATA_4" localSheetId="5" hidden="1">'For Trustee 061422'!$115:$115,'For Trustee 061422'!$116:$116,'For Trustee 061422'!$117:$117,'For Trustee 061422'!$118:$118,'For Trustee 061422'!$119:$119,'For Trustee 061422'!$120:$120,'For Trustee 061422'!$123:$123,'For Trustee 061422'!$124:$124,'For Trustee 061422'!$136:$136,'For Trustee 061422'!$137:$137,'For Trustee 061422'!$138:$138,'For Trustee 061422'!$139:$139,'For Trustee 061422'!$140:$140,'For Trustee 061422'!$141:$141,'For Trustee 061422'!$142:$142,'For Trustee 061422'!$143:$143</definedName>
    <definedName name="QB_DATA_4" localSheetId="7" hidden="1">'For Trustees 050522'!$115:$115,'For Trustees 050522'!$116:$116,'For Trustees 050522'!$117:$117,'For Trustees 050522'!$118:$118,'For Trustees 050522'!$119:$119,'For Trustees 050522'!$120:$120,'For Trustees 050522'!$123:$123,'For Trustees 050522'!$124:$124,'For Trustees 050522'!$136:$136,'For Trustees 050522'!$137:$137,'For Trustees 050522'!$138:$138,'For Trustees 050522'!$139:$139,'For Trustees 050522'!$140:$140,'For Trustees 050522'!$141:$141,'For Trustees 050522'!$142:$142,'For Trustees 050522'!$143:$143</definedName>
    <definedName name="QB_DATA_4" localSheetId="2" hidden="1">'For Trustees 071222 '!$115:$115,'For Trustees 071222 '!$116:$116,'For Trustees 071222 '!$117:$117,'For Trustees 071222 '!$118:$118,'For Trustees 071222 '!$119:$119,'For Trustees 071222 '!$120:$120,'For Trustees 071222 '!$123:$123,'For Trustees 071222 '!$124:$124,'For Trustees 071222 '!$136:$136,'For Trustees 071222 '!$137:$137,'For Trustees 071222 '!$138:$138,'For Trustees 071222 '!$139:$139,'For Trustees 071222 '!$140:$140,'For Trustees 071222 '!$141:$141,'For Trustees 071222 '!$142:$142,'For Trustees 071222 '!$143:$143</definedName>
    <definedName name="QB_DATA_4" localSheetId="8" hidden="1">'Working Copy 050522'!$98:$98,'Working Copy 050522'!$99:$99,'Working Copy 050522'!$100:$100,'Working Copy 050522'!$101:$101,'Working Copy 050522'!$102:$102,'Working Copy 050522'!$103:$103,'Working Copy 050522'!$106:$106,'Working Copy 050522'!$107:$107,'Working Copy 050522'!$108:$108,'Working Copy 050522'!$109:$109,'Working Copy 050522'!$110:$110,'Working Copy 050522'!$111:$111,'Working Copy 050522'!$112:$112,'Working Copy 050522'!$113:$113,'Working Copy 050522'!$114:$114,'Working Copy 050522'!$115:$115</definedName>
    <definedName name="QB_DATA_4" localSheetId="6" hidden="1">'Working Copy 061422'!$115:$115,'Working Copy 061422'!$116:$116,'Working Copy 061422'!$117:$117,'Working Copy 061422'!$118:$118,'Working Copy 061422'!$119:$119,'Working Copy 061422'!$120:$120,'Working Copy 061422'!$123:$123,'Working Copy 061422'!$124:$124,'Working Copy 061422'!$136:$136,'Working Copy 061422'!$137:$137,'Working Copy 061422'!$138:$138,'Working Copy 061422'!$139:$139,'Working Copy 061422'!$140:$140,'Working Copy 061422'!$141:$141,'Working Copy 061422'!$142:$142,'Working Copy 061422'!$143:$143</definedName>
    <definedName name="QB_DATA_4" localSheetId="3" hidden="1">'Working Copy 071222'!$115:$115,'Working Copy 071222'!$116:$116,'Working Copy 071222'!$117:$117,'Working Copy 071222'!$118:$118,'Working Copy 071222'!$119:$119,'Working Copy 071222'!$120:$120,'Working Copy 071222'!$123:$123,'Working Copy 071222'!$124:$124,'Working Copy 071222'!$136:$136,'Working Copy 071222'!$137:$137,'Working Copy 071222'!$138:$138,'Working Copy 071222'!$139:$139,'Working Copy 071222'!$140:$140,'Working Copy 071222'!$141:$141,'Working Copy 071222'!$142:$142,'Working Copy 071222'!$143:$143</definedName>
    <definedName name="QB_DATA_5" localSheetId="10" hidden="1">'060421 For Trustees Prior Year '!$161:$161,'060421 For Trustees Prior Year '!$164:$164,'060421 For Trustees Prior Year '!$167:$167,'060421 For Trustees Prior Year '!$168:$168,'060421 For Trustees Prior Year '!$169:$169,'060421 For Trustees Prior Year '!$182:$182,'060421 For Trustees Prior Year '!$183:$183</definedName>
    <definedName name="QB_DATA_5" localSheetId="9" hidden="1">'Ad Downloaded 042822'!$119:$119,'Ad Downloaded 042822'!$121:$121,'Ad Downloaded 042822'!$125:$125,'Ad Downloaded 042822'!$128:$128,'Ad Downloaded 042822'!$131:$131,'Ad Downloaded 042822'!$138:$138,'Ad Downloaded 042822'!$139:$139,'Ad Downloaded 042822'!$140:$140</definedName>
    <definedName name="QB_DATA_5" localSheetId="1" hidden="1">'App Bud for Input'!$148:$148,'App Bud for Input'!$150:$150,'App Bud for Input'!$154:$154,'App Bud for Input'!$157:$157,'App Bud for Input'!$160:$160,'App Bud for Input'!$167:$167,'App Bud for Input'!$168:$168,'App Bud for Input'!$169:$169</definedName>
    <definedName name="QB_DATA_5" localSheetId="0" hidden="1">'Approved Budget'!$148:$148,'Approved Budget'!$150:$150,'Approved Budget'!$154:$154,'Approved Budget'!$157:$157,'Approved Budget'!$160:$160,'Approved Budget'!$167:$167,'Approved Budget'!$168:$168,'Approved Budget'!$169:$169</definedName>
    <definedName name="QB_DATA_5" localSheetId="5" hidden="1">'For Trustee 061422'!$148:$148,'For Trustee 061422'!$150:$150,'For Trustee 061422'!$154:$154,'For Trustee 061422'!$157:$157,'For Trustee 061422'!$160:$160,'For Trustee 061422'!$167:$167,'For Trustee 061422'!$168:$168,'For Trustee 061422'!$169:$169</definedName>
    <definedName name="QB_DATA_5" localSheetId="7" hidden="1">'For Trustees 050522'!$148:$148,'For Trustees 050522'!$150:$150,'For Trustees 050522'!$154:$154,'For Trustees 050522'!$157:$157,'For Trustees 050522'!$160:$160,'For Trustees 050522'!$167:$167,'For Trustees 050522'!$168:$168,'For Trustees 050522'!$169:$169</definedName>
    <definedName name="QB_DATA_5" localSheetId="2" hidden="1">'For Trustees 071222 '!$148:$148,'For Trustees 071222 '!$150:$150,'For Trustees 071222 '!$154:$154,'For Trustees 071222 '!$157:$157,'For Trustees 071222 '!$160:$160,'For Trustees 071222 '!$167:$167,'For Trustees 071222 '!$168:$168,'For Trustees 071222 '!$169:$169</definedName>
    <definedName name="QB_DATA_5" localSheetId="8" hidden="1">'Working Copy 050522'!$120:$120,'Working Copy 050522'!$122:$122,'Working Copy 050522'!$126:$126,'Working Copy 050522'!$129:$129,'Working Copy 050522'!$132:$132,'Working Copy 050522'!$139:$139,'Working Copy 050522'!$140:$140,'Working Copy 050522'!$141:$141</definedName>
    <definedName name="QB_DATA_5" localSheetId="6" hidden="1">'Working Copy 061422'!$148:$148,'Working Copy 061422'!$150:$150,'Working Copy 061422'!$154:$154,'Working Copy 061422'!$157:$157,'Working Copy 061422'!$160:$160,'Working Copy 061422'!$167:$167,'Working Copy 061422'!$168:$168,'Working Copy 061422'!$169:$169</definedName>
    <definedName name="QB_DATA_5" localSheetId="3" hidden="1">'Working Copy 071222'!$148:$148,'Working Copy 071222'!$150:$150,'Working Copy 071222'!$154:$154,'Working Copy 071222'!$157:$157,'Working Copy 071222'!$160:$160,'Working Copy 071222'!$167:$167,'Working Copy 071222'!$168:$168,'Working Copy 071222'!$169:$169</definedName>
    <definedName name="QB_FORMULA_0" localSheetId="10" hidden="1">'060421 For Trustees Prior Year '!$X$5,'060421 For Trustees Prior Year '!$X$6,'060421 For Trustees Prior Year '!$X$7,'060421 For Trustees Prior Year '!$X$8,'060421 For Trustees Prior Year '!$X$9,'060421 For Trustees Prior Year '!$X$10,'060421 For Trustees Prior Year '!$X$11,'060421 For Trustees Prior Year '!$X$12,'060421 For Trustees Prior Year '!$X$13,'060421 For Trustees Prior Year '!$G$14,'060421 For Trustees Prior Year '!$H$14,'060421 For Trustees Prior Year '!$I$14,'060421 For Trustees Prior Year '!$J$14,'060421 For Trustees Prior Year '!$K$14,'060421 For Trustees Prior Year '!$L$14,'060421 For Trustees Prior Year '!$M$14</definedName>
    <definedName name="QB_FORMULA_0" localSheetId="9" hidden="1">'Ad Downloaded 042822'!$T$5,'Ad Downloaded 042822'!$T$6,'Ad Downloaded 042822'!$T$7,'Ad Downloaded 042822'!$T$8,'Ad Downloaded 042822'!$T$9,'Ad Downloaded 042822'!$T$10,'Ad Downloaded 042822'!$T$11,'Ad Downloaded 042822'!$T$12,'Ad Downloaded 042822'!$T$13,'Ad Downloaded 042822'!$T$14,'Ad Downloaded 042822'!$H$15,'Ad Downloaded 042822'!$I$15,'Ad Downloaded 042822'!$J$15,'Ad Downloaded 042822'!$K$15,'Ad Downloaded 042822'!$L$15,'Ad Downloaded 042822'!$M$15</definedName>
    <definedName name="QB_FORMULA_0" localSheetId="1" hidden="1">'App Bud for Input'!$U$5,'App Bud for Input'!$U$6,'App Bud for Input'!$U$7,'App Bud for Input'!$U$8,'App Bud for Input'!$U$9,'App Bud for Input'!$U$10,'App Bud for Input'!$U$11,'App Bud for Input'!$U$12,'App Bud for Input'!$U$13,'App Bud for Input'!$U$14,'App Bud for Input'!$Q$15,'App Bud for Input'!$R$15,'App Bud for Input'!$S$15,'App Bud for Input'!$H$15,'App Bud for Input'!$I$15,'App Bud for Input'!$J$15</definedName>
    <definedName name="QB_FORMULA_0" localSheetId="0" hidden="1">'Approved Budget'!$U$5,'Approved Budget'!$U$6,'Approved Budget'!$U$7,'Approved Budget'!$U$8,'Approved Budget'!$U$9,'Approved Budget'!$U$10,'Approved Budget'!$U$11,'Approved Budget'!$U$12,'Approved Budget'!$U$13,'Approved Budget'!$U$14,'Approved Budget'!$Q$15,'Approved Budget'!$R$15,'Approved Budget'!$S$15,'Approved Budget'!$H$15,'Approved Budget'!$I$15,'Approved Budget'!$J$15</definedName>
    <definedName name="QB_FORMULA_0" localSheetId="5" hidden="1">'For Trustee 061422'!$U$5,'For Trustee 061422'!$U$6,'For Trustee 061422'!$U$7,'For Trustee 061422'!$U$8,'For Trustee 061422'!$U$9,'For Trustee 061422'!$U$10,'For Trustee 061422'!$U$11,'For Trustee 061422'!$U$12,'For Trustee 061422'!$U$13,'For Trustee 061422'!$U$14,'For Trustee 061422'!$Q$15,'For Trustee 061422'!$R$15,'For Trustee 061422'!$S$15,'For Trustee 061422'!$H$15,'For Trustee 061422'!$I$15,'For Trustee 061422'!$J$15</definedName>
    <definedName name="QB_FORMULA_0" localSheetId="7" hidden="1">'For Trustees 050522'!$U$5,'For Trustees 050522'!$U$6,'For Trustees 050522'!$U$7,'For Trustees 050522'!$U$8,'For Trustees 050522'!$U$9,'For Trustees 050522'!$U$10,'For Trustees 050522'!$U$11,'For Trustees 050522'!$U$12,'For Trustees 050522'!$U$13,'For Trustees 050522'!$U$14,'For Trustees 050522'!$Q$15,'For Trustees 050522'!$R$15,'For Trustees 050522'!$S$15,'For Trustees 050522'!$H$15,'For Trustees 050522'!$I$15,'For Trustees 050522'!$J$15</definedName>
    <definedName name="QB_FORMULA_0" localSheetId="2" hidden="1">'For Trustees 071222 '!$U$5,'For Trustees 071222 '!$U$6,'For Trustees 071222 '!$U$7,'For Trustees 071222 '!$U$8,'For Trustees 071222 '!$U$9,'For Trustees 071222 '!$U$10,'For Trustees 071222 '!$U$11,'For Trustees 071222 '!$U$12,'For Trustees 071222 '!$U$13,'For Trustees 071222 '!$U$14,'For Trustees 071222 '!$Q$15,'For Trustees 071222 '!$R$15,'For Trustees 071222 '!$S$15,'For Trustees 071222 '!$H$15,'For Trustees 071222 '!$I$15,'For Trustees 071222 '!$J$15</definedName>
    <definedName name="QB_FORMULA_0" localSheetId="8" hidden="1">'Working Copy 050522'!$U$5,'Working Copy 050522'!$U$6,'Working Copy 050522'!$U$7,'Working Copy 050522'!$U$8,'Working Copy 050522'!$U$9,'Working Copy 050522'!$U$10,'Working Copy 050522'!$U$11,'Working Copy 050522'!$U$12,'Working Copy 050522'!$U$13,'Working Copy 050522'!$U$14,'Working Copy 050522'!$Q$15,'Working Copy 050522'!$R$15,'Working Copy 050522'!$S$15,'Working Copy 050522'!$H$15,'Working Copy 050522'!$I$15,'Working Copy 050522'!$J$15</definedName>
    <definedName name="QB_FORMULA_0" localSheetId="6" hidden="1">'Working Copy 061422'!$U$5,'Working Copy 061422'!$U$6,'Working Copy 061422'!$U$7,'Working Copy 061422'!$U$8,'Working Copy 061422'!$U$9,'Working Copy 061422'!$U$10,'Working Copy 061422'!$U$11,'Working Copy 061422'!$U$12,'Working Copy 061422'!$U$13,'Working Copy 061422'!$U$14,'Working Copy 061422'!$Q$15,'Working Copy 061422'!$R$15,'Working Copy 061422'!$S$15,'Working Copy 061422'!$H$15,'Working Copy 061422'!$I$15,'Working Copy 061422'!$J$15</definedName>
    <definedName name="QB_FORMULA_0" localSheetId="3" hidden="1">'Working Copy 071222'!$U$5,'Working Copy 071222'!$U$6,'Working Copy 071222'!$U$7,'Working Copy 071222'!$U$8,'Working Copy 071222'!$U$9,'Working Copy 071222'!$U$10,'Working Copy 071222'!$U$11,'Working Copy 071222'!$U$12,'Working Copy 071222'!$U$13,'Working Copy 071222'!$U$14,'Working Copy 071222'!$Q$15,'Working Copy 071222'!$R$15,'Working Copy 071222'!$S$15,'Working Copy 071222'!$H$15,'Working Copy 071222'!$I$15,'Working Copy 071222'!$J$15</definedName>
    <definedName name="QB_FORMULA_1" localSheetId="10" hidden="1">'060421 For Trustees Prior Year '!$N$14,'060421 For Trustees Prior Year '!$O$14,'060421 For Trustees Prior Year '!$P$14,'060421 For Trustees Prior Year '!$Q$14,'060421 For Trustees Prior Year '!$R$14,'060421 For Trustees Prior Year '!$W$14,'060421 For Trustees Prior Year '!$X$14,'060421 For Trustees Prior Year '!$X$16,'060421 For Trustees Prior Year '!$X$17,'060421 For Trustees Prior Year '!$X$18,'060421 For Trustees Prior Year '!$X$19,'060421 For Trustees Prior Year '!$X$20,'060421 For Trustees Prior Year '!$G$21,'060421 For Trustees Prior Year '!$H$21,'060421 For Trustees Prior Year '!$I$21,'060421 For Trustees Prior Year '!$J$21</definedName>
    <definedName name="QB_FORMULA_1" localSheetId="9" hidden="1">'Ad Downloaded 042822'!$N$15,'Ad Downloaded 042822'!$O$15,'Ad Downloaded 042822'!$P$15,'Ad Downloaded 042822'!$Q$15,'Ad Downloaded 042822'!$R$15,'Ad Downloaded 042822'!$S$15,'Ad Downloaded 042822'!$T$15,'Ad Downloaded 042822'!$T$17,'Ad Downloaded 042822'!$T$18,'Ad Downloaded 042822'!$T$19,'Ad Downloaded 042822'!$T$20,'Ad Downloaded 042822'!$T$21,'Ad Downloaded 042822'!$H$22,'Ad Downloaded 042822'!$I$22,'Ad Downloaded 042822'!$J$22,'Ad Downloaded 042822'!$K$22</definedName>
    <definedName name="QB_FORMULA_1" localSheetId="1" hidden="1">'App Bud for Input'!$K$15,'App Bud for Input'!$L$15,'App Bud for Input'!$M$15,'App Bud for Input'!$N$15,'App Bud for Input'!$O$15,'App Bud for Input'!$T$15,'App Bud for Input'!$U$15,'App Bud for Input'!$U$17,'App Bud for Input'!$U$18,'App Bud for Input'!$U$19,'App Bud for Input'!$U$20,'App Bud for Input'!$U$21,'App Bud for Input'!$Q$22,'App Bud for Input'!$R$22,'App Bud for Input'!$S$22,'App Bud for Input'!$H$22</definedName>
    <definedName name="QB_FORMULA_1" localSheetId="0" hidden="1">'Approved Budget'!$K$15,'Approved Budget'!$L$15,'Approved Budget'!$M$15,'Approved Budget'!$N$15,'Approved Budget'!$O$15,'Approved Budget'!$T$15,'Approved Budget'!$U$15,'Approved Budget'!$U$17,'Approved Budget'!$U$18,'Approved Budget'!$U$19,'Approved Budget'!$U$20,'Approved Budget'!$U$21,'Approved Budget'!$Q$22,'Approved Budget'!$R$22,'Approved Budget'!$S$22,'Approved Budget'!$H$22</definedName>
    <definedName name="QB_FORMULA_1" localSheetId="5" hidden="1">'For Trustee 061422'!$K$15,'For Trustee 061422'!$L$15,'For Trustee 061422'!$M$15,'For Trustee 061422'!$N$15,'For Trustee 061422'!$O$15,'For Trustee 061422'!$T$15,'For Trustee 061422'!$U$15,'For Trustee 061422'!$U$17,'For Trustee 061422'!$U$18,'For Trustee 061422'!$U$19,'For Trustee 061422'!$U$20,'For Trustee 061422'!$U$21,'For Trustee 061422'!$Q$22,'For Trustee 061422'!$R$22,'For Trustee 061422'!$S$22,'For Trustee 061422'!$H$22</definedName>
    <definedName name="QB_FORMULA_1" localSheetId="7" hidden="1">'For Trustees 050522'!$K$15,'For Trustees 050522'!$L$15,'For Trustees 050522'!$M$15,'For Trustees 050522'!$N$15,'For Trustees 050522'!$O$15,'For Trustees 050522'!$T$15,'For Trustees 050522'!$U$15,'For Trustees 050522'!$U$17,'For Trustees 050522'!$U$18,'For Trustees 050522'!$U$19,'For Trustees 050522'!$U$20,'For Trustees 050522'!$U$21,'For Trustees 050522'!$Q$22,'For Trustees 050522'!$R$22,'For Trustees 050522'!$S$22,'For Trustees 050522'!$H$22</definedName>
    <definedName name="QB_FORMULA_1" localSheetId="2" hidden="1">'For Trustees 071222 '!$K$15,'For Trustees 071222 '!$L$15,'For Trustees 071222 '!$M$15,'For Trustees 071222 '!$N$15,'For Trustees 071222 '!$O$15,'For Trustees 071222 '!$T$15,'For Trustees 071222 '!$U$15,'For Trustees 071222 '!$U$17,'For Trustees 071222 '!$U$18,'For Trustees 071222 '!$U$19,'For Trustees 071222 '!$U$20,'For Trustees 071222 '!$U$21,'For Trustees 071222 '!$Q$22,'For Trustees 071222 '!$R$22,'For Trustees 071222 '!$S$22,'For Trustees 071222 '!$H$22</definedName>
    <definedName name="QB_FORMULA_1" localSheetId="8" hidden="1">'Working Copy 050522'!$K$15,'Working Copy 050522'!$L$15,'Working Copy 050522'!$M$15,'Working Copy 050522'!$N$15,'Working Copy 050522'!$O$15,'Working Copy 050522'!$T$15,'Working Copy 050522'!$U$15,'Working Copy 050522'!$U$17,'Working Copy 050522'!$U$18,'Working Copy 050522'!$U$19,'Working Copy 050522'!$U$20,'Working Copy 050522'!$U$21,'Working Copy 050522'!$Q$22,'Working Copy 050522'!$R$22,'Working Copy 050522'!$S$22,'Working Copy 050522'!$H$22</definedName>
    <definedName name="QB_FORMULA_1" localSheetId="6" hidden="1">'Working Copy 061422'!$K$15,'Working Copy 061422'!$L$15,'Working Copy 061422'!$M$15,'Working Copy 061422'!$N$15,'Working Copy 061422'!$O$15,'Working Copy 061422'!$T$15,'Working Copy 061422'!$U$15,'Working Copy 061422'!$U$17,'Working Copy 061422'!$U$18,'Working Copy 061422'!$U$19,'Working Copy 061422'!$U$20,'Working Copy 061422'!$U$21,'Working Copy 061422'!$Q$22,'Working Copy 061422'!$R$22,'Working Copy 061422'!$S$22,'Working Copy 061422'!$H$22</definedName>
    <definedName name="QB_FORMULA_1" localSheetId="3" hidden="1">'Working Copy 071222'!$K$15,'Working Copy 071222'!$L$15,'Working Copy 071222'!$M$15,'Working Copy 071222'!$N$15,'Working Copy 071222'!$O$15,'Working Copy 071222'!$T$15,'Working Copy 071222'!$U$15,'Working Copy 071222'!$U$17,'Working Copy 071222'!$U$18,'Working Copy 071222'!$U$19,'Working Copy 071222'!$U$20,'Working Copy 071222'!$U$21,'Working Copy 071222'!$Q$22,'Working Copy 071222'!$R$22,'Working Copy 071222'!$S$22,'Working Copy 071222'!$H$22</definedName>
    <definedName name="QB_FORMULA_10" localSheetId="10" hidden="1">'060421 For Trustees Prior Year '!$X$61,'060421 For Trustees Prior Year '!$G$62,'060421 For Trustees Prior Year '!$H$62,'060421 For Trustees Prior Year '!$I$62,'060421 For Trustees Prior Year '!$J$62,'060421 For Trustees Prior Year '!$K$62,'060421 For Trustees Prior Year '!$L$62,'060421 For Trustees Prior Year '!$M$62,'060421 For Trustees Prior Year '!$N$62,'060421 For Trustees Prior Year '!$O$62,'060421 For Trustees Prior Year '!$P$62,'060421 For Trustees Prior Year '!$Q$62,'060421 For Trustees Prior Year '!$R$62,'060421 For Trustees Prior Year '!$W$62,'060421 For Trustees Prior Year '!$X$62,'060421 For Trustees Prior Year '!$X$64</definedName>
    <definedName name="QB_FORMULA_10" localSheetId="9" hidden="1">'Ad Downloaded 042822'!$Q$57,'Ad Downloaded 042822'!$R$57,'Ad Downloaded 042822'!$S$57,'Ad Downloaded 042822'!$T$57,'Ad Downloaded 042822'!$T$59,'Ad Downloaded 042822'!$T$60,'Ad Downloaded 042822'!$T$61,'Ad Downloaded 042822'!$H$62,'Ad Downloaded 042822'!$I$62,'Ad Downloaded 042822'!$J$62,'Ad Downloaded 042822'!$K$62,'Ad Downloaded 042822'!$L$62,'Ad Downloaded 042822'!$M$62,'Ad Downloaded 042822'!$N$62,'Ad Downloaded 042822'!$O$62,'Ad Downloaded 042822'!$P$62</definedName>
    <definedName name="QB_FORMULA_10" localSheetId="1" hidden="1">'App Bud for Input'!$N$60,'App Bud for Input'!$O$60,'App Bud for Input'!$T$60,'App Bud for Input'!$U$60,'App Bud for Input'!$U$62,'App Bud for Input'!$U$63,'App Bud for Input'!$U$64,'App Bud for Input'!$Q$65,'App Bud for Input'!$R$65,'App Bud for Input'!$S$65,'App Bud for Input'!$H$65,'App Bud for Input'!$I$65,'App Bud for Input'!$J$65,'App Bud for Input'!$K$65,'App Bud for Input'!$L$65,'App Bud for Input'!$M$65</definedName>
    <definedName name="QB_FORMULA_10" localSheetId="0" hidden="1">'Approved Budget'!$N$60,'Approved Budget'!$O$60,'Approved Budget'!$T$60,'Approved Budget'!$U$60,'Approved Budget'!$U$62,'Approved Budget'!$U$63,'Approved Budget'!$U$64,'Approved Budget'!$Q$65,'Approved Budget'!$R$65,'Approved Budget'!$S$65,'Approved Budget'!$H$65,'Approved Budget'!$I$65,'Approved Budget'!$J$65,'Approved Budget'!$K$65,'Approved Budget'!$L$65,'Approved Budget'!$M$65</definedName>
    <definedName name="QB_FORMULA_10" localSheetId="5" hidden="1">'For Trustee 061422'!$N$60,'For Trustee 061422'!$O$60,'For Trustee 061422'!$T$60,'For Trustee 061422'!$U$60,'For Trustee 061422'!$U$62,'For Trustee 061422'!$U$63,'For Trustee 061422'!$U$64,'For Trustee 061422'!$Q$65,'For Trustee 061422'!$R$65,'For Trustee 061422'!$S$65,'For Trustee 061422'!$H$65,'For Trustee 061422'!$I$65,'For Trustee 061422'!$J$65,'For Trustee 061422'!$K$65,'For Trustee 061422'!$L$65,'For Trustee 061422'!$M$65</definedName>
    <definedName name="QB_FORMULA_10" localSheetId="7" hidden="1">'For Trustees 050522'!$N$60,'For Trustees 050522'!$O$60,'For Trustees 050522'!$T$60,'For Trustees 050522'!$U$60,'For Trustees 050522'!$U$62,'For Trustees 050522'!$U$63,'For Trustees 050522'!$U$64,'For Trustees 050522'!$Q$65,'For Trustees 050522'!$R$65,'For Trustees 050522'!$S$65,'For Trustees 050522'!$H$65,'For Trustees 050522'!$I$65,'For Trustees 050522'!$J$65,'For Trustees 050522'!$K$65,'For Trustees 050522'!$L$65,'For Trustees 050522'!$M$65</definedName>
    <definedName name="QB_FORMULA_10" localSheetId="2" hidden="1">'For Trustees 071222 '!$N$60,'For Trustees 071222 '!$O$60,'For Trustees 071222 '!$T$60,'For Trustees 071222 '!$U$60,'For Trustees 071222 '!$U$62,'For Trustees 071222 '!$U$63,'For Trustees 071222 '!$U$64,'For Trustees 071222 '!$Q$65,'For Trustees 071222 '!$R$65,'For Trustees 071222 '!$S$65,'For Trustees 071222 '!$H$65,'For Trustees 071222 '!$I$65,'For Trustees 071222 '!$J$65,'For Trustees 071222 '!$K$65,'For Trustees 071222 '!$L$65,'For Trustees 071222 '!$M$65</definedName>
    <definedName name="QB_FORMULA_10" localSheetId="8" hidden="1">'Working Copy 050522'!$N$58,'Working Copy 050522'!$O$58,'Working Copy 050522'!$T$58,'Working Copy 050522'!$U$58,'Working Copy 050522'!$U$60,'Working Copy 050522'!$U$61,'Working Copy 050522'!$U$62,'Working Copy 050522'!$Q$63,'Working Copy 050522'!$R$63,'Working Copy 050522'!$S$63,'Working Copy 050522'!$H$63,'Working Copy 050522'!$I$63,'Working Copy 050522'!$J$63,'Working Copy 050522'!$K$63,'Working Copy 050522'!$L$63,'Working Copy 050522'!$M$63</definedName>
    <definedName name="QB_FORMULA_10" localSheetId="6" hidden="1">'Working Copy 061422'!$N$60,'Working Copy 061422'!$O$60,'Working Copy 061422'!$T$60,'Working Copy 061422'!$U$60,'Working Copy 061422'!$U$62,'Working Copy 061422'!$U$63,'Working Copy 061422'!$U$64,'Working Copy 061422'!$Q$65,'Working Copy 061422'!$R$65,'Working Copy 061422'!$S$65,'Working Copy 061422'!$H$65,'Working Copy 061422'!$I$65,'Working Copy 061422'!$J$65,'Working Copy 061422'!$K$65,'Working Copy 061422'!$L$65,'Working Copy 061422'!$M$65</definedName>
    <definedName name="QB_FORMULA_10" localSheetId="3" hidden="1">'Working Copy 071222'!$N$60,'Working Copy 071222'!$O$60,'Working Copy 071222'!$T$60,'Working Copy 071222'!$U$60,'Working Copy 071222'!$U$62,'Working Copy 071222'!$U$63,'Working Copy 071222'!$U$64,'Working Copy 071222'!$Q$65,'Working Copy 071222'!$R$65,'Working Copy 071222'!$S$65,'Working Copy 071222'!$H$65,'Working Copy 071222'!$I$65,'Working Copy 071222'!$J$65,'Working Copy 071222'!$K$65,'Working Copy 071222'!$L$65,'Working Copy 071222'!$M$65</definedName>
    <definedName name="QB_FORMULA_11" localSheetId="10" hidden="1">'060421 For Trustees Prior Year '!$X$66,'060421 For Trustees Prior Year '!$G$67,'060421 For Trustees Prior Year '!$H$67,'060421 For Trustees Prior Year '!$I$67,'060421 For Trustees Prior Year '!$J$67,'060421 For Trustees Prior Year '!$K$67,'060421 For Trustees Prior Year '!$L$67,'060421 For Trustees Prior Year '!$M$67,'060421 For Trustees Prior Year '!$N$67,'060421 For Trustees Prior Year '!$O$67,'060421 For Trustees Prior Year '!$P$67,'060421 For Trustees Prior Year '!$Q$67,'060421 For Trustees Prior Year '!$R$67,'060421 For Trustees Prior Year '!$W$67,'060421 For Trustees Prior Year '!$X$67,'060421 For Trustees Prior Year '!$G$68</definedName>
    <definedName name="QB_FORMULA_11" localSheetId="9" hidden="1">'Ad Downloaded 042822'!$Q$62,'Ad Downloaded 042822'!$R$62,'Ad Downloaded 042822'!$S$62,'Ad Downloaded 042822'!$T$62,'Ad Downloaded 042822'!$T$64,'Ad Downloaded 042822'!$T$65,'Ad Downloaded 042822'!$H$66,'Ad Downloaded 042822'!$I$66,'Ad Downloaded 042822'!$J$66,'Ad Downloaded 042822'!$K$66,'Ad Downloaded 042822'!$L$66,'Ad Downloaded 042822'!$M$66,'Ad Downloaded 042822'!$N$66,'Ad Downloaded 042822'!$O$66,'Ad Downloaded 042822'!$P$66,'Ad Downloaded 042822'!$Q$66</definedName>
    <definedName name="QB_FORMULA_11" localSheetId="1" hidden="1">'App Bud for Input'!$N$65,'App Bud for Input'!$O$65,'App Bud for Input'!$T$65,'App Bud for Input'!$U$65,'App Bud for Input'!$U$67,'App Bud for Input'!$U$69,'App Bud for Input'!$Q$70,'App Bud for Input'!$R$70,'App Bud for Input'!$S$70,'App Bud for Input'!$H$70,'App Bud for Input'!$I$70,'App Bud for Input'!$J$70,'App Bud for Input'!$K$70,'App Bud for Input'!$L$70,'App Bud for Input'!$M$70,'App Bud for Input'!$N$70</definedName>
    <definedName name="QB_FORMULA_11" localSheetId="0" hidden="1">'Approved Budget'!$N$65,'Approved Budget'!$O$65,'Approved Budget'!$T$65,'Approved Budget'!$U$65,'Approved Budget'!$U$67,'Approved Budget'!$U$69,'Approved Budget'!$Q$70,'Approved Budget'!$R$70,'Approved Budget'!$S$70,'Approved Budget'!$H$70,'Approved Budget'!$I$70,'Approved Budget'!$J$70,'Approved Budget'!$K$70,'Approved Budget'!$L$70,'Approved Budget'!$M$70,'Approved Budget'!$N$70</definedName>
    <definedName name="QB_FORMULA_11" localSheetId="5" hidden="1">'For Trustee 061422'!$N$65,'For Trustee 061422'!$O$65,'For Trustee 061422'!$T$65,'For Trustee 061422'!$U$65,'For Trustee 061422'!$U$67,'For Trustee 061422'!$U$69,'For Trustee 061422'!$Q$70,'For Trustee 061422'!$R$70,'For Trustee 061422'!$S$70,'For Trustee 061422'!$H$70,'For Trustee 061422'!$I$70,'For Trustee 061422'!$J$70,'For Trustee 061422'!$K$70,'For Trustee 061422'!$L$70,'For Trustee 061422'!$M$70,'For Trustee 061422'!$N$70</definedName>
    <definedName name="QB_FORMULA_11" localSheetId="7" hidden="1">'For Trustees 050522'!$N$65,'For Trustees 050522'!$O$65,'For Trustees 050522'!$T$65,'For Trustees 050522'!$U$65,'For Trustees 050522'!$U$67,'For Trustees 050522'!$U$69,'For Trustees 050522'!$Q$70,'For Trustees 050522'!$R$70,'For Trustees 050522'!$S$70,'For Trustees 050522'!$H$70,'For Trustees 050522'!$I$70,'For Trustees 050522'!$J$70,'For Trustees 050522'!$K$70,'For Trustees 050522'!$L$70,'For Trustees 050522'!$M$70,'For Trustees 050522'!$N$70</definedName>
    <definedName name="QB_FORMULA_11" localSheetId="2" hidden="1">'For Trustees 071222 '!$N$65,'For Trustees 071222 '!$O$65,'For Trustees 071222 '!$T$65,'For Trustees 071222 '!$U$65,'For Trustees 071222 '!$U$67,'For Trustees 071222 '!$U$69,'For Trustees 071222 '!$Q$70,'For Trustees 071222 '!$R$70,'For Trustees 071222 '!$S$70,'For Trustees 071222 '!$H$70,'For Trustees 071222 '!$I$70,'For Trustees 071222 '!$J$70,'For Trustees 071222 '!$K$70,'For Trustees 071222 '!$L$70,'For Trustees 071222 '!$M$70,'For Trustees 071222 '!$N$70</definedName>
    <definedName name="QB_FORMULA_11" localSheetId="8" hidden="1">'Working Copy 050522'!$N$63,'Working Copy 050522'!$O$63,'Working Copy 050522'!$T$63,'Working Copy 050522'!$U$63,'Working Copy 050522'!$U$65,'Working Copy 050522'!$U$67,'Working Copy 050522'!$Q$68,'Working Copy 050522'!$R$68,'Working Copy 050522'!$S$68,'Working Copy 050522'!$H$68,'Working Copy 050522'!$I$68,'Working Copy 050522'!$J$68,'Working Copy 050522'!$K$68,'Working Copy 050522'!$L$68,'Working Copy 050522'!$M$68,'Working Copy 050522'!$N$68</definedName>
    <definedName name="QB_FORMULA_11" localSheetId="6" hidden="1">'Working Copy 061422'!$N$65,'Working Copy 061422'!$O$65,'Working Copy 061422'!$T$65,'Working Copy 061422'!$U$65,'Working Copy 061422'!$U$67,'Working Copy 061422'!$U$69,'Working Copy 061422'!$Q$70,'Working Copy 061422'!$R$70,'Working Copy 061422'!$S$70,'Working Copy 061422'!$H$70,'Working Copy 061422'!$I$70,'Working Copy 061422'!$J$70,'Working Copy 061422'!$K$70,'Working Copy 061422'!$L$70,'Working Copy 061422'!$M$70,'Working Copy 061422'!$N$70</definedName>
    <definedName name="QB_FORMULA_11" localSheetId="3" hidden="1">'Working Copy 071222'!$N$65,'Working Copy 071222'!$O$65,'Working Copy 071222'!$T$65,'Working Copy 071222'!$U$65,'Working Copy 071222'!$U$67,'Working Copy 071222'!$U$69,'Working Copy 071222'!$Q$70,'Working Copy 071222'!$R$70,'Working Copy 071222'!$S$70,'Working Copy 071222'!$H$70,'Working Copy 071222'!$I$70,'Working Copy 071222'!$J$70,'Working Copy 071222'!$K$70,'Working Copy 071222'!$L$70,'Working Copy 071222'!$M$70,'Working Copy 071222'!$N$70</definedName>
    <definedName name="QB_FORMULA_12" localSheetId="10" hidden="1">'060421 For Trustees Prior Year '!$H$68,'060421 For Trustees Prior Year '!$I$68,'060421 For Trustees Prior Year '!$J$68,'060421 For Trustees Prior Year '!$K$68,'060421 For Trustees Prior Year '!$L$68,'060421 For Trustees Prior Year '!$M$68,'060421 For Trustees Prior Year '!$N$68,'060421 For Trustees Prior Year '!$O$68,'060421 For Trustees Prior Year '!$P$68,'060421 For Trustees Prior Year '!$Q$68,'060421 For Trustees Prior Year '!$R$68,'060421 For Trustees Prior Year '!$W$68,'060421 For Trustees Prior Year '!$X$68,'060421 For Trustees Prior Year '!$X$71,'060421 For Trustees Prior Year '!$X$72,'060421 For Trustees Prior Year '!$G$73</definedName>
    <definedName name="QB_FORMULA_12" localSheetId="9" hidden="1">'Ad Downloaded 042822'!$R$66,'Ad Downloaded 042822'!$S$66,'Ad Downloaded 042822'!$T$66,'Ad Downloaded 042822'!$H$67,'Ad Downloaded 042822'!$I$67,'Ad Downloaded 042822'!$J$67,'Ad Downloaded 042822'!$K$67,'Ad Downloaded 042822'!$L$67,'Ad Downloaded 042822'!$M$67,'Ad Downloaded 042822'!$N$67,'Ad Downloaded 042822'!$O$67,'Ad Downloaded 042822'!$P$67,'Ad Downloaded 042822'!$Q$67,'Ad Downloaded 042822'!$R$67,'Ad Downloaded 042822'!$S$67,'Ad Downloaded 042822'!$T$67</definedName>
    <definedName name="QB_FORMULA_12" localSheetId="1" hidden="1">'App Bud for Input'!$O$70,'App Bud for Input'!$T$70,'App Bud for Input'!$U$70,'App Bud for Input'!$Q$71,'App Bud for Input'!$R$71,'App Bud for Input'!$S$71,'App Bud for Input'!$H$71,'App Bud for Input'!$I$71,'App Bud for Input'!$J$71,'App Bud for Input'!$K$71,'App Bud for Input'!$L$71,'App Bud for Input'!$M$71,'App Bud for Input'!$N$71,'App Bud for Input'!$O$71,'App Bud for Input'!$T$71,'App Bud for Input'!$U$71</definedName>
    <definedName name="QB_FORMULA_12" localSheetId="0" hidden="1">'Approved Budget'!$O$70,'Approved Budget'!$T$70,'Approved Budget'!$U$70,'Approved Budget'!$Q$71,'Approved Budget'!$R$71,'Approved Budget'!$S$71,'Approved Budget'!$H$71,'Approved Budget'!$I$71,'Approved Budget'!$J$71,'Approved Budget'!$K$71,'Approved Budget'!$L$71,'Approved Budget'!$M$71,'Approved Budget'!$N$71,'Approved Budget'!$O$71,'Approved Budget'!$T$71,'Approved Budget'!$U$71</definedName>
    <definedName name="QB_FORMULA_12" localSheetId="5" hidden="1">'For Trustee 061422'!$O$70,'For Trustee 061422'!$T$70,'For Trustee 061422'!$U$70,'For Trustee 061422'!$Q$71,'For Trustee 061422'!$R$71,'For Trustee 061422'!$S$71,'For Trustee 061422'!$H$71,'For Trustee 061422'!$I$71,'For Trustee 061422'!$J$71,'For Trustee 061422'!$K$71,'For Trustee 061422'!$L$71,'For Trustee 061422'!$M$71,'For Trustee 061422'!$N$71,'For Trustee 061422'!$O$71,'For Trustee 061422'!$T$71,'For Trustee 061422'!$U$71</definedName>
    <definedName name="QB_FORMULA_12" localSheetId="7" hidden="1">'For Trustees 050522'!$O$70,'For Trustees 050522'!$T$70,'For Trustees 050522'!$U$70,'For Trustees 050522'!$Q$71,'For Trustees 050522'!$R$71,'For Trustees 050522'!$S$71,'For Trustees 050522'!$H$71,'For Trustees 050522'!$I$71,'For Trustees 050522'!$J$71,'For Trustees 050522'!$K$71,'For Trustees 050522'!$L$71,'For Trustees 050522'!$M$71,'For Trustees 050522'!$N$71,'For Trustees 050522'!$O$71,'For Trustees 050522'!$T$71,'For Trustees 050522'!$U$71</definedName>
    <definedName name="QB_FORMULA_12" localSheetId="2" hidden="1">'For Trustees 071222 '!$O$70,'For Trustees 071222 '!$T$70,'For Trustees 071222 '!$U$70,'For Trustees 071222 '!$Q$71,'For Trustees 071222 '!$R$71,'For Trustees 071222 '!$S$71,'For Trustees 071222 '!$H$71,'For Trustees 071222 '!$I$71,'For Trustees 071222 '!$J$71,'For Trustees 071222 '!$K$71,'For Trustees 071222 '!$L$71,'For Trustees 071222 '!$M$71,'For Trustees 071222 '!$N$71,'For Trustees 071222 '!$O$71,'For Trustees 071222 '!$T$71,'For Trustees 071222 '!$U$71</definedName>
    <definedName name="QB_FORMULA_12" localSheetId="8" hidden="1">'Working Copy 050522'!$O$68,'Working Copy 050522'!$T$68,'Working Copy 050522'!$U$68,'Working Copy 050522'!$Q$69,'Working Copy 050522'!$R$69,'Working Copy 050522'!$S$69,'Working Copy 050522'!$H$69,'Working Copy 050522'!$I$69,'Working Copy 050522'!$J$69,'Working Copy 050522'!$K$69,'Working Copy 050522'!$L$69,'Working Copy 050522'!$M$69,'Working Copy 050522'!$N$69,'Working Copy 050522'!$O$69,'Working Copy 050522'!$T$69,'Working Copy 050522'!$U$69</definedName>
    <definedName name="QB_FORMULA_12" localSheetId="6" hidden="1">'Working Copy 061422'!$O$70,'Working Copy 061422'!$T$70,'Working Copy 061422'!$U$70,'Working Copy 061422'!$Q$71,'Working Copy 061422'!$R$71,'Working Copy 061422'!$S$71,'Working Copy 061422'!$H$71,'Working Copy 061422'!$I$71,'Working Copy 061422'!$J$71,'Working Copy 061422'!$K$71,'Working Copy 061422'!$L$71,'Working Copy 061422'!$M$71,'Working Copy 061422'!$N$71,'Working Copy 061422'!$O$71,'Working Copy 061422'!$T$71,'Working Copy 061422'!$U$71</definedName>
    <definedName name="QB_FORMULA_12" localSheetId="3" hidden="1">'Working Copy 071222'!$O$70,'Working Copy 071222'!$T$70,'Working Copy 071222'!$U$70,'Working Copy 071222'!$Q$71,'Working Copy 071222'!$R$71,'Working Copy 071222'!$S$71,'Working Copy 071222'!$H$71,'Working Copy 071222'!$I$71,'Working Copy 071222'!$J$71,'Working Copy 071222'!$K$71,'Working Copy 071222'!$L$71,'Working Copy 071222'!$M$71,'Working Copy 071222'!$N$71,'Working Copy 071222'!$O$71,'Working Copy 071222'!$T$71,'Working Copy 071222'!$U$71</definedName>
    <definedName name="QB_FORMULA_13" localSheetId="10" hidden="1">'060421 For Trustees Prior Year '!$H$73,'060421 For Trustees Prior Year '!$I$73,'060421 For Trustees Prior Year '!$J$73,'060421 For Trustees Prior Year '!$K$73,'060421 For Trustees Prior Year '!$L$73,'060421 For Trustees Prior Year '!$M$73,'060421 For Trustees Prior Year '!$N$73,'060421 For Trustees Prior Year '!$O$73,'060421 For Trustees Prior Year '!$P$73,'060421 For Trustees Prior Year '!$Q$73,'060421 For Trustees Prior Year '!$R$73,'060421 For Trustees Prior Year '!$W$73,'060421 For Trustees Prior Year '!$X$73,'060421 For Trustees Prior Year '!$X$93,'060421 For Trustees Prior Year '!$X$94,'060421 For Trustees Prior Year '!$X$95</definedName>
    <definedName name="QB_FORMULA_13" localSheetId="9" hidden="1">'Ad Downloaded 042822'!$T$70,'Ad Downloaded 042822'!$T$71,'Ad Downloaded 042822'!$H$72,'Ad Downloaded 042822'!$I$72,'Ad Downloaded 042822'!$J$72,'Ad Downloaded 042822'!$K$72,'Ad Downloaded 042822'!$L$72,'Ad Downloaded 042822'!$M$72,'Ad Downloaded 042822'!$N$72,'Ad Downloaded 042822'!$O$72,'Ad Downloaded 042822'!$P$72,'Ad Downloaded 042822'!$Q$72,'Ad Downloaded 042822'!$R$72,'Ad Downloaded 042822'!$S$72,'Ad Downloaded 042822'!$T$72,'Ad Downloaded 042822'!$T$74</definedName>
    <definedName name="QB_FORMULA_13" localSheetId="1" hidden="1">'App Bud for Input'!$U$74,'App Bud for Input'!$U$75,'App Bud for Input'!$Q$76,'App Bud for Input'!$R$76,'App Bud for Input'!$S$76,'App Bud for Input'!$H$76,'App Bud for Input'!$I$76,'App Bud for Input'!$J$76,'App Bud for Input'!$K$76,'App Bud for Input'!$L$76,'App Bud for Input'!$M$76,'App Bud for Input'!$N$76,'App Bud for Input'!$O$76,'App Bud for Input'!$T$76,'App Bud for Input'!$U$76,'App Bud for Input'!$U$93</definedName>
    <definedName name="QB_FORMULA_13" localSheetId="0" hidden="1">'Approved Budget'!$U$74,'Approved Budget'!$U$75,'Approved Budget'!$Q$76,'Approved Budget'!$R$76,'Approved Budget'!$S$76,'Approved Budget'!$H$76,'Approved Budget'!$I$76,'Approved Budget'!$J$76,'Approved Budget'!$K$76,'Approved Budget'!$L$76,'Approved Budget'!$M$76,'Approved Budget'!$N$76,'Approved Budget'!$O$76,'Approved Budget'!$T$76,'Approved Budget'!$U$76,'Approved Budget'!$U$93</definedName>
    <definedName name="QB_FORMULA_13" localSheetId="5" hidden="1">'For Trustee 061422'!$U$74,'For Trustee 061422'!$U$75,'For Trustee 061422'!$Q$76,'For Trustee 061422'!$R$76,'For Trustee 061422'!$S$76,'For Trustee 061422'!$H$76,'For Trustee 061422'!$I$76,'For Trustee 061422'!$J$76,'For Trustee 061422'!$K$76,'For Trustee 061422'!$L$76,'For Trustee 061422'!$M$76,'For Trustee 061422'!$N$76,'For Trustee 061422'!$O$76,'For Trustee 061422'!$T$76,'For Trustee 061422'!$U$76,'For Trustee 061422'!$U$93</definedName>
    <definedName name="QB_FORMULA_13" localSheetId="7" hidden="1">'For Trustees 050522'!$U$74,'For Trustees 050522'!$U$75,'For Trustees 050522'!$Q$76,'For Trustees 050522'!$R$76,'For Trustees 050522'!$S$76,'For Trustees 050522'!$H$76,'For Trustees 050522'!$I$76,'For Trustees 050522'!$J$76,'For Trustees 050522'!$K$76,'For Trustees 050522'!$L$76,'For Trustees 050522'!$M$76,'For Trustees 050522'!$N$76,'For Trustees 050522'!$O$76,'For Trustees 050522'!$T$76,'For Trustees 050522'!$U$76,'For Trustees 050522'!$U$93</definedName>
    <definedName name="QB_FORMULA_13" localSheetId="2" hidden="1">'For Trustees 071222 '!$U$74,'For Trustees 071222 '!$U$75,'For Trustees 071222 '!$Q$76,'For Trustees 071222 '!$R$76,'For Trustees 071222 '!$S$76,'For Trustees 071222 '!$H$76,'For Trustees 071222 '!$I$76,'For Trustees 071222 '!$J$76,'For Trustees 071222 '!$K$76,'For Trustees 071222 '!$L$76,'For Trustees 071222 '!$M$76,'For Trustees 071222 '!$N$76,'For Trustees 071222 '!$O$76,'For Trustees 071222 '!$T$76,'For Trustees 071222 '!$U$76,'For Trustees 071222 '!$U$93</definedName>
    <definedName name="QB_FORMULA_13" localSheetId="8" hidden="1">'Working Copy 050522'!$U$72,'Working Copy 050522'!$U$73,'Working Copy 050522'!$Q$74,'Working Copy 050522'!$R$74,'Working Copy 050522'!$S$74,'Working Copy 050522'!$H$74,'Working Copy 050522'!$I$74,'Working Copy 050522'!$J$74,'Working Copy 050522'!$K$74,'Working Copy 050522'!$L$74,'Working Copy 050522'!$M$74,'Working Copy 050522'!$N$74,'Working Copy 050522'!$O$74,'Working Copy 050522'!$T$74,'Working Copy 050522'!$U$74,'Working Copy 050522'!$U$76</definedName>
    <definedName name="QB_FORMULA_13" localSheetId="6" hidden="1">'Working Copy 061422'!$U$74,'Working Copy 061422'!$U$75,'Working Copy 061422'!$Q$76,'Working Copy 061422'!$R$76,'Working Copy 061422'!$S$76,'Working Copy 061422'!$H$76,'Working Copy 061422'!$I$76,'Working Copy 061422'!$J$76,'Working Copy 061422'!$K$76,'Working Copy 061422'!$L$76,'Working Copy 061422'!$M$76,'Working Copy 061422'!$N$76,'Working Copy 061422'!$O$76,'Working Copy 061422'!$T$76,'Working Copy 061422'!$U$76,'Working Copy 061422'!$U$93</definedName>
    <definedName name="QB_FORMULA_13" localSheetId="3" hidden="1">'Working Copy 071222'!$U$74,'Working Copy 071222'!$U$75,'Working Copy 071222'!$Q$76,'Working Copy 071222'!$R$76,'Working Copy 071222'!$S$76,'Working Copy 071222'!$H$76,'Working Copy 071222'!$I$76,'Working Copy 071222'!$J$76,'Working Copy 071222'!$K$76,'Working Copy 071222'!$L$76,'Working Copy 071222'!$M$76,'Working Copy 071222'!$N$76,'Working Copy 071222'!$O$76,'Working Copy 071222'!$T$76,'Working Copy 071222'!$U$76,'Working Copy 071222'!$U$93</definedName>
    <definedName name="QB_FORMULA_14" localSheetId="10" hidden="1">'060421 For Trustees Prior Year '!$X$96,'060421 For Trustees Prior Year '!$X$97,'060421 For Trustees Prior Year '!$X$98,'060421 For Trustees Prior Year '!$X$99,'060421 For Trustees Prior Year '!$X$100,'060421 For Trustees Prior Year '!$X$101,'060421 For Trustees Prior Year '!$X$102,'060421 For Trustees Prior Year '!$X$103,'060421 For Trustees Prior Year '!$X$104,'060421 For Trustees Prior Year '!$X$105,'060421 For Trustees Prior Year '!$X$106,'060421 For Trustees Prior Year '!$X$107,'060421 For Trustees Prior Year '!$X$108,'060421 For Trustees Prior Year '!$X$109,'060421 For Trustees Prior Year '!$X$110,'060421 For Trustees Prior Year '!$X$112</definedName>
    <definedName name="QB_FORMULA_14" localSheetId="9" hidden="1">'Ad Downloaded 042822'!$T$75,'Ad Downloaded 042822'!$T$76,'Ad Downloaded 042822'!$T$77,'Ad Downloaded 042822'!$T$78,'Ad Downloaded 042822'!$T$79,'Ad Downloaded 042822'!$T$80,'Ad Downloaded 042822'!$T$81,'Ad Downloaded 042822'!$T$82,'Ad Downloaded 042822'!$T$83,'Ad Downloaded 042822'!$T$84,'Ad Downloaded 042822'!$T$85,'Ad Downloaded 042822'!$T$86,'Ad Downloaded 042822'!$T$87,'Ad Downloaded 042822'!$T$88,'Ad Downloaded 042822'!$T$89,'Ad Downloaded 042822'!$T$90</definedName>
    <definedName name="QB_FORMULA_14" localSheetId="1" hidden="1">'App Bud for Input'!$U$94,'App Bud for Input'!$U$95,'App Bud for Input'!$U$96,'App Bud for Input'!$U$97,'App Bud for Input'!$U$98,'App Bud for Input'!$U$99,'App Bud for Input'!$U$100,'App Bud for Input'!$U$101,'App Bud for Input'!$U$102,'App Bud for Input'!$U$103,'App Bud for Input'!$U$104,'App Bud for Input'!$U$105,'App Bud for Input'!$U$106,'App Bud for Input'!$U$107,'App Bud for Input'!$U$108,'App Bud for Input'!$U$109</definedName>
    <definedName name="QB_FORMULA_14" localSheetId="0" hidden="1">'Approved Budget'!$U$94,'Approved Budget'!$U$95,'Approved Budget'!$U$96,'Approved Budget'!$U$97,'Approved Budget'!$U$98,'Approved Budget'!$U$99,'Approved Budget'!$U$100,'Approved Budget'!$U$101,'Approved Budget'!$U$102,'Approved Budget'!$U$103,'Approved Budget'!$U$104,'Approved Budget'!$U$105,'Approved Budget'!$U$106,'Approved Budget'!$U$107,'Approved Budget'!$U$108,'Approved Budget'!$U$109</definedName>
    <definedName name="QB_FORMULA_14" localSheetId="5" hidden="1">'For Trustee 061422'!$U$94,'For Trustee 061422'!$U$95,'For Trustee 061422'!$U$96,'For Trustee 061422'!$U$97,'For Trustee 061422'!$U$98,'For Trustee 061422'!$U$99,'For Trustee 061422'!$U$100,'For Trustee 061422'!$U$101,'For Trustee 061422'!$U$102,'For Trustee 061422'!$U$103,'For Trustee 061422'!$U$104,'For Trustee 061422'!$U$105,'For Trustee 061422'!$U$106,'For Trustee 061422'!$U$107,'For Trustee 061422'!$U$108,'For Trustee 061422'!$U$109</definedName>
    <definedName name="QB_FORMULA_14" localSheetId="7" hidden="1">'For Trustees 050522'!$U$94,'For Trustees 050522'!$U$95,'For Trustees 050522'!$U$96,'For Trustees 050522'!$U$97,'For Trustees 050522'!$U$98,'For Trustees 050522'!$U$99,'For Trustees 050522'!$U$100,'For Trustees 050522'!$U$101,'For Trustees 050522'!$U$102,'For Trustees 050522'!$U$103,'For Trustees 050522'!$U$104,'For Trustees 050522'!$U$105,'For Trustees 050522'!$U$106,'For Trustees 050522'!$U$107,'For Trustees 050522'!$U$108,'For Trustees 050522'!$U$109</definedName>
    <definedName name="QB_FORMULA_14" localSheetId="2" hidden="1">'For Trustees 071222 '!$U$94,'For Trustees 071222 '!$U$95,'For Trustees 071222 '!$U$96,'For Trustees 071222 '!$U$97,'For Trustees 071222 '!$U$98,'For Trustees 071222 '!$U$99,'For Trustees 071222 '!$U$100,'For Trustees 071222 '!$U$101,'For Trustees 071222 '!$U$102,'For Trustees 071222 '!$U$103,'For Trustees 071222 '!$U$104,'For Trustees 071222 '!$U$105,'For Trustees 071222 '!$U$106,'For Trustees 071222 '!$U$107,'For Trustees 071222 '!$U$108,'For Trustees 071222 '!$U$109</definedName>
    <definedName name="QB_FORMULA_14" localSheetId="8" hidden="1">'Working Copy 050522'!$U$77,'Working Copy 050522'!$U$78,'Working Copy 050522'!$U$79,'Working Copy 050522'!$U$80,'Working Copy 050522'!$U$81,'Working Copy 050522'!$U$82,'Working Copy 050522'!$U$83,'Working Copy 050522'!$U$84,'Working Copy 050522'!$U$85,'Working Copy 050522'!$U$86,'Working Copy 050522'!$U$87,'Working Copy 050522'!$U$88,'Working Copy 050522'!$U$89,'Working Copy 050522'!$U$90,'Working Copy 050522'!$U$91,'Working Copy 050522'!$U$92</definedName>
    <definedName name="QB_FORMULA_14" localSheetId="6" hidden="1">'Working Copy 061422'!$U$94,'Working Copy 061422'!$U$95,'Working Copy 061422'!$U$96,'Working Copy 061422'!$U$97,'Working Copy 061422'!$U$98,'Working Copy 061422'!$U$99,'Working Copy 061422'!$U$100,'Working Copy 061422'!$U$101,'Working Copy 061422'!$U$102,'Working Copy 061422'!$U$103,'Working Copy 061422'!$U$104,'Working Copy 061422'!$U$105,'Working Copy 061422'!$U$106,'Working Copy 061422'!$U$107,'Working Copy 061422'!$U$108,'Working Copy 061422'!$U$109</definedName>
    <definedName name="QB_FORMULA_14" localSheetId="3" hidden="1">'Working Copy 071222'!$U$94,'Working Copy 071222'!$U$95,'Working Copy 071222'!$U$96,'Working Copy 071222'!$U$97,'Working Copy 071222'!$U$98,'Working Copy 071222'!$U$99,'Working Copy 071222'!$U$100,'Working Copy 071222'!$U$101,'Working Copy 071222'!$U$102,'Working Copy 071222'!$U$103,'Working Copy 071222'!$U$104,'Working Copy 071222'!$U$105,'Working Copy 071222'!$U$106,'Working Copy 071222'!$U$107,'Working Copy 071222'!$U$108,'Working Copy 071222'!$U$109</definedName>
    <definedName name="QB_FORMULA_15" localSheetId="10" hidden="1">'060421 For Trustees Prior Year '!$X$113,'060421 For Trustees Prior Year '!$X$114,'060421 For Trustees Prior Year '!$X$115,'060421 For Trustees Prior Year '!$X$117,'060421 For Trustees Prior Year '!$X$118,'060421 For Trustees Prior Year '!$X$119,'060421 For Trustees Prior Year '!$X$120,'060421 For Trustees Prior Year '!$X$121,'060421 For Trustees Prior Year '!$X$122,'060421 For Trustees Prior Year '!$X$123,'060421 For Trustees Prior Year '!$G$124,'060421 For Trustees Prior Year '!$H$124,'060421 For Trustees Prior Year '!$I$124,'060421 For Trustees Prior Year '!$J$124,'060421 For Trustees Prior Year '!$K$124,'060421 For Trustees Prior Year '!$L$124</definedName>
    <definedName name="QB_FORMULA_15" localSheetId="9" hidden="1">'Ad Downloaded 042822'!$T$91,'Ad Downloaded 042822'!$T$92,'Ad Downloaded 042822'!$T$93,'Ad Downloaded 042822'!$T$94,'Ad Downloaded 042822'!$T$95,'Ad Downloaded 042822'!$T$96,'Ad Downloaded 042822'!$T$97,'Ad Downloaded 042822'!$T$98,'Ad Downloaded 042822'!$T$99,'Ad Downloaded 042822'!$T$100,'Ad Downloaded 042822'!$T$101,'Ad Downloaded 042822'!$T$102,'Ad Downloaded 042822'!$H$103,'Ad Downloaded 042822'!$I$103,'Ad Downloaded 042822'!$J$103,'Ad Downloaded 042822'!$K$103</definedName>
    <definedName name="QB_FORMULA_15" localSheetId="1" hidden="1">'App Bud for Input'!$U$110,'App Bud for Input'!$U$112,'App Bud for Input'!$U$113,'App Bud for Input'!$U$114,'App Bud for Input'!$U$115,'App Bud for Input'!$U$117,'App Bud for Input'!$U$118,'App Bud for Input'!$U$119,'App Bud for Input'!$U$120,'App Bud for Input'!$U$121,'App Bud for Input'!$U$122,'App Bud for Input'!$U$123,'App Bud for Input'!$Q$124,'App Bud for Input'!$R$124,'App Bud for Input'!$S$124,'App Bud for Input'!$H$124</definedName>
    <definedName name="QB_FORMULA_15" localSheetId="0" hidden="1">'Approved Budget'!$U$110,'Approved Budget'!$U$112,'Approved Budget'!$U$113,'Approved Budget'!$U$114,'Approved Budget'!$U$115,'Approved Budget'!$U$117,'Approved Budget'!$U$118,'Approved Budget'!$U$119,'Approved Budget'!$U$120,'Approved Budget'!$U$121,'Approved Budget'!$U$122,'Approved Budget'!$U$123,'Approved Budget'!$Q$124,'Approved Budget'!$R$124,'Approved Budget'!$S$124,'Approved Budget'!$H$124</definedName>
    <definedName name="QB_FORMULA_15" localSheetId="5" hidden="1">'For Trustee 061422'!$U$110,'For Trustee 061422'!$U$112,'For Trustee 061422'!$U$113,'For Trustee 061422'!$U$114,'For Trustee 061422'!$U$115,'For Trustee 061422'!$U$117,'For Trustee 061422'!$U$118,'For Trustee 061422'!$U$119,'For Trustee 061422'!$U$120,'For Trustee 061422'!$U$121,'For Trustee 061422'!$U$122,'For Trustee 061422'!$U$123,'For Trustee 061422'!$Q$124,'For Trustee 061422'!$R$124,'For Trustee 061422'!$S$124,'For Trustee 061422'!$H$124</definedName>
    <definedName name="QB_FORMULA_15" localSheetId="7" hidden="1">'For Trustees 050522'!$U$110,'For Trustees 050522'!$U$112,'For Trustees 050522'!$U$113,'For Trustees 050522'!$U$114,'For Trustees 050522'!$U$115,'For Trustees 050522'!$U$117,'For Trustees 050522'!$U$118,'For Trustees 050522'!$U$119,'For Trustees 050522'!$U$120,'For Trustees 050522'!$U$121,'For Trustees 050522'!$U$122,'For Trustees 050522'!$U$123,'For Trustees 050522'!$Q$124,'For Trustees 050522'!$R$124,'For Trustees 050522'!$S$124,'For Trustees 050522'!$H$124</definedName>
    <definedName name="QB_FORMULA_15" localSheetId="2" hidden="1">'For Trustees 071222 '!$U$110,'For Trustees 071222 '!$U$112,'For Trustees 071222 '!$U$113,'For Trustees 071222 '!$U$114,'For Trustees 071222 '!$U$115,'For Trustees 071222 '!$U$117,'For Trustees 071222 '!$U$118,'For Trustees 071222 '!$U$119,'For Trustees 071222 '!$U$120,'For Trustees 071222 '!$U$121,'For Trustees 071222 '!$U$122,'For Trustees 071222 '!$U$123,'For Trustees 071222 '!$Q$124,'For Trustees 071222 '!$R$124,'For Trustees 071222 '!$S$124,'For Trustees 071222 '!$H$124</definedName>
    <definedName name="QB_FORMULA_15" localSheetId="8" hidden="1">'Working Copy 050522'!$U$93,'Working Copy 050522'!$U$95,'Working Copy 050522'!$U$96,'Working Copy 050522'!$U$97,'Working Copy 050522'!$U$98,'Working Copy 050522'!$U$100,'Working Copy 050522'!$U$101,'Working Copy 050522'!$U$102,'Working Copy 050522'!$U$103,'Working Copy 050522'!$U$104,'Working Copy 050522'!$U$105,'Working Copy 050522'!$U$106,'Working Copy 050522'!$Q$107,'Working Copy 050522'!$R$107,'Working Copy 050522'!$S$107,'Working Copy 050522'!$H$107</definedName>
    <definedName name="QB_FORMULA_15" localSheetId="6" hidden="1">'Working Copy 061422'!$U$110,'Working Copy 061422'!$U$112,'Working Copy 061422'!$U$113,'Working Copy 061422'!$U$114,'Working Copy 061422'!$U$115,'Working Copy 061422'!$U$117,'Working Copy 061422'!$U$118,'Working Copy 061422'!$U$119,'Working Copy 061422'!$U$120,'Working Copy 061422'!$U$121,'Working Copy 061422'!$U$122,'Working Copy 061422'!$U$123,'Working Copy 061422'!$Q$124,'Working Copy 061422'!$R$124,'Working Copy 061422'!$S$124,'Working Copy 061422'!$H$124</definedName>
    <definedName name="QB_FORMULA_15" localSheetId="3" hidden="1">'Working Copy 071222'!$U$110,'Working Copy 071222'!$U$112,'Working Copy 071222'!$U$113,'Working Copy 071222'!$U$114,'Working Copy 071222'!$U$115,'Working Copy 071222'!$U$117,'Working Copy 071222'!$U$118,'Working Copy 071222'!$U$119,'Working Copy 071222'!$U$120,'Working Copy 071222'!$U$121,'Working Copy 071222'!$U$122,'Working Copy 071222'!$U$123,'Working Copy 071222'!$Q$124,'Working Copy 071222'!$R$124,'Working Copy 071222'!$S$124,'Working Copy 071222'!$H$124</definedName>
    <definedName name="QB_FORMULA_16" localSheetId="10" hidden="1">'060421 For Trustees Prior Year '!$M$124,'060421 For Trustees Prior Year '!$N$124,'060421 For Trustees Prior Year '!$O$124,'060421 For Trustees Prior Year '!$P$124,'060421 For Trustees Prior Year '!$Q$124,'060421 For Trustees Prior Year '!$R$124,'060421 For Trustees Prior Year '!$W$124,'060421 For Trustees Prior Year '!$X$124,'060421 For Trustees Prior Year '!$X$137,'060421 For Trustees Prior Year '!$X$138,'060421 For Trustees Prior Year '!$X$139,'060421 For Trustees Prior Year '!$X$140,'060421 For Trustees Prior Year '!$X$141,'060421 For Trustees Prior Year '!$X$142,'060421 For Trustees Prior Year '!$X$144,'060421 For Trustees Prior Year '!$X$145</definedName>
    <definedName name="QB_FORMULA_16" localSheetId="9" hidden="1">'Ad Downloaded 042822'!$L$103,'Ad Downloaded 042822'!$M$103,'Ad Downloaded 042822'!$N$103,'Ad Downloaded 042822'!$O$103,'Ad Downloaded 042822'!$P$103,'Ad Downloaded 042822'!$Q$103,'Ad Downloaded 042822'!$R$103,'Ad Downloaded 042822'!$S$103,'Ad Downloaded 042822'!$T$103,'Ad Downloaded 042822'!$T$105,'Ad Downloaded 042822'!$T$106,'Ad Downloaded 042822'!$T$107,'Ad Downloaded 042822'!$T$108,'Ad Downloaded 042822'!$T$109,'Ad Downloaded 042822'!$T$110,'Ad Downloaded 042822'!$T$111</definedName>
    <definedName name="QB_FORMULA_16" localSheetId="1" hidden="1">'App Bud for Input'!$I$124,'App Bud for Input'!$J$124,'App Bud for Input'!$K$124,'App Bud for Input'!$L$124,'App Bud for Input'!$M$124,'App Bud for Input'!$N$124,'App Bud for Input'!$O$124,'App Bud for Input'!$T$124,'App Bud for Input'!$U$124,'App Bud for Input'!$U$137,'App Bud for Input'!$U$138,'App Bud for Input'!$U$139,'App Bud for Input'!$U$140,'App Bud for Input'!$U$141,'App Bud for Input'!$U$142,'App Bud for Input'!$U$144</definedName>
    <definedName name="QB_FORMULA_16" localSheetId="0" hidden="1">'Approved Budget'!$I$124,'Approved Budget'!$J$124,'Approved Budget'!$K$124,'Approved Budget'!$L$124,'Approved Budget'!$M$124,'Approved Budget'!$N$124,'Approved Budget'!$O$124,'Approved Budget'!$T$124,'Approved Budget'!$U$124,'Approved Budget'!$U$137,'Approved Budget'!$U$138,'Approved Budget'!$U$139,'Approved Budget'!$U$140,'Approved Budget'!$U$141,'Approved Budget'!$U$142,'Approved Budget'!$U$144</definedName>
    <definedName name="QB_FORMULA_16" localSheetId="5" hidden="1">'For Trustee 061422'!$I$124,'For Trustee 061422'!$J$124,'For Trustee 061422'!$K$124,'For Trustee 061422'!$L$124,'For Trustee 061422'!$M$124,'For Trustee 061422'!$N$124,'For Trustee 061422'!$O$124,'For Trustee 061422'!$T$124,'For Trustee 061422'!$U$124,'For Trustee 061422'!$U$137,'For Trustee 061422'!$U$138,'For Trustee 061422'!$U$139,'For Trustee 061422'!$U$140,'For Trustee 061422'!$U$141,'For Trustee 061422'!$U$142,'For Trustee 061422'!$U$144</definedName>
    <definedName name="QB_FORMULA_16" localSheetId="7" hidden="1">'For Trustees 050522'!$I$124,'For Trustees 050522'!$J$124,'For Trustees 050522'!$K$124,'For Trustees 050522'!$L$124,'For Trustees 050522'!$M$124,'For Trustees 050522'!$N$124,'For Trustees 050522'!$O$124,'For Trustees 050522'!$T$124,'For Trustees 050522'!$U$124,'For Trustees 050522'!$U$137,'For Trustees 050522'!$U$138,'For Trustees 050522'!$U$139,'For Trustees 050522'!$U$140,'For Trustees 050522'!$U$141,'For Trustees 050522'!$U$142,'For Trustees 050522'!$U$144</definedName>
    <definedName name="QB_FORMULA_16" localSheetId="2" hidden="1">'For Trustees 071222 '!$I$124,'For Trustees 071222 '!$J$124,'For Trustees 071222 '!$K$124,'For Trustees 071222 '!$L$124,'For Trustees 071222 '!$M$124,'For Trustees 071222 '!$N$124,'For Trustees 071222 '!$O$124,'For Trustees 071222 '!$T$124,'For Trustees 071222 '!$U$124,'For Trustees 071222 '!$U$137,'For Trustees 071222 '!$U$138,'For Trustees 071222 '!$U$139,'For Trustees 071222 '!$U$140,'For Trustees 071222 '!$U$141,'For Trustees 071222 '!$U$142,'For Trustees 071222 '!$U$144</definedName>
    <definedName name="QB_FORMULA_16" localSheetId="8" hidden="1">'Working Copy 050522'!$I$107,'Working Copy 050522'!$J$107,'Working Copy 050522'!$K$107,'Working Copy 050522'!$L$107,'Working Copy 050522'!$M$107,'Working Copy 050522'!$N$107,'Working Copy 050522'!$O$107,'Working Copy 050522'!$T$107,'Working Copy 050522'!$U$107,'Working Copy 050522'!$U$109,'Working Copy 050522'!$U$110,'Working Copy 050522'!$U$111,'Working Copy 050522'!$U$112,'Working Copy 050522'!$U$113,'Working Copy 050522'!$U$114,'Working Copy 050522'!$U$116</definedName>
    <definedName name="QB_FORMULA_16" localSheetId="6" hidden="1">'Working Copy 061422'!$I$124,'Working Copy 061422'!$J$124,'Working Copy 061422'!$K$124,'Working Copy 061422'!$L$124,'Working Copy 061422'!$M$124,'Working Copy 061422'!$N$124,'Working Copy 061422'!$O$124,'Working Copy 061422'!$T$124,'Working Copy 061422'!$U$124,'Working Copy 061422'!$U$137,'Working Copy 061422'!$U$138,'Working Copy 061422'!$U$139,'Working Copy 061422'!$U$140,'Working Copy 061422'!$U$141,'Working Copy 061422'!$U$142,'Working Copy 061422'!$U$144</definedName>
    <definedName name="QB_FORMULA_16" localSheetId="3" hidden="1">'Working Copy 071222'!$I$124,'Working Copy 071222'!$J$124,'Working Copy 071222'!$K$124,'Working Copy 071222'!$L$124,'Working Copy 071222'!$M$124,'Working Copy 071222'!$N$124,'Working Copy 071222'!$O$124,'Working Copy 071222'!$T$124,'Working Copy 071222'!$U$124,'Working Copy 071222'!$U$137,'Working Copy 071222'!$U$138,'Working Copy 071222'!$U$139,'Working Copy 071222'!$U$140,'Working Copy 071222'!$U$141,'Working Copy 071222'!$U$142,'Working Copy 071222'!$U$144</definedName>
    <definedName name="QB_FORMULA_17" localSheetId="10" hidden="1">'060421 For Trustees Prior Year '!$X$146,'060421 For Trustees Prior Year '!$X$147,'060421 For Trustees Prior Year '!$G$148,'060421 For Trustees Prior Year '!$H$148,'060421 For Trustees Prior Year '!$I$148,'060421 For Trustees Prior Year '!$J$148,'060421 For Trustees Prior Year '!$K$148,'060421 For Trustees Prior Year '!$L$148,'060421 For Trustees Prior Year '!$M$148,'060421 For Trustees Prior Year '!$N$148,'060421 For Trustees Prior Year '!$O$148,'060421 For Trustees Prior Year '!$P$148,'060421 For Trustees Prior Year '!$Q$148,'060421 For Trustees Prior Year '!$R$148,'060421 For Trustees Prior Year '!$W$148,'060421 For Trustees Prior Year '!$X$148</definedName>
    <definedName name="QB_FORMULA_17" localSheetId="9" hidden="1">'Ad Downloaded 042822'!$T$112,'Ad Downloaded 042822'!$T$113,'Ad Downloaded 042822'!$T$114,'Ad Downloaded 042822'!$H$115,'Ad Downloaded 042822'!$I$115,'Ad Downloaded 042822'!$J$115,'Ad Downloaded 042822'!$K$115,'Ad Downloaded 042822'!$L$115,'Ad Downloaded 042822'!$M$115,'Ad Downloaded 042822'!$N$115,'Ad Downloaded 042822'!$O$115,'Ad Downloaded 042822'!$P$115,'Ad Downloaded 042822'!$Q$115,'Ad Downloaded 042822'!$R$115,'Ad Downloaded 042822'!$S$115,'Ad Downloaded 042822'!$T$115</definedName>
    <definedName name="QB_FORMULA_17" localSheetId="1" hidden="1">'App Bud for Input'!$U$145,'App Bud for Input'!$U$146,'App Bud for Input'!$U$147,'App Bud for Input'!$Q$148,'App Bud for Input'!$R$148,'App Bud for Input'!$S$148,'App Bud for Input'!$H$148,'App Bud for Input'!$I$148,'App Bud for Input'!$J$148,'App Bud for Input'!$K$148,'App Bud for Input'!$L$148,'App Bud for Input'!$M$148,'App Bud for Input'!$N$148,'App Bud for Input'!$O$148,'App Bud for Input'!$T$148,'App Bud for Input'!$U$148</definedName>
    <definedName name="QB_FORMULA_17" localSheetId="0" hidden="1">'Approved Budget'!$U$145,'Approved Budget'!$U$146,'Approved Budget'!$U$147,'Approved Budget'!$Q$148,'Approved Budget'!$R$148,'Approved Budget'!$S$148,'Approved Budget'!$H$148,'Approved Budget'!$I$148,'Approved Budget'!$J$148,'Approved Budget'!$K$148,'Approved Budget'!$L$148,'Approved Budget'!$M$148,'Approved Budget'!$N$148,'Approved Budget'!$O$148,'Approved Budget'!$T$148,'Approved Budget'!$U$148</definedName>
    <definedName name="QB_FORMULA_17" localSheetId="5" hidden="1">'For Trustee 061422'!$U$145,'For Trustee 061422'!$U$146,'For Trustee 061422'!$U$147,'For Trustee 061422'!$Q$148,'For Trustee 061422'!$R$148,'For Trustee 061422'!$S$148,'For Trustee 061422'!$H$148,'For Trustee 061422'!$I$148,'For Trustee 061422'!$J$148,'For Trustee 061422'!$K$148,'For Trustee 061422'!$L$148,'For Trustee 061422'!$M$148,'For Trustee 061422'!$N$148,'For Trustee 061422'!$O$148,'For Trustee 061422'!$T$148,'For Trustee 061422'!$U$148</definedName>
    <definedName name="QB_FORMULA_17" localSheetId="7" hidden="1">'For Trustees 050522'!$U$145,'For Trustees 050522'!$U$146,'For Trustees 050522'!$U$147,'For Trustees 050522'!$Q$148,'For Trustees 050522'!$R$148,'For Trustees 050522'!$S$148,'For Trustees 050522'!$H$148,'For Trustees 050522'!$I$148,'For Trustees 050522'!$J$148,'For Trustees 050522'!$K$148,'For Trustees 050522'!$L$148,'For Trustees 050522'!$M$148,'For Trustees 050522'!$N$148,'For Trustees 050522'!$O$148,'For Trustees 050522'!$T$148,'For Trustees 050522'!$U$148</definedName>
    <definedName name="QB_FORMULA_17" localSheetId="2" hidden="1">'For Trustees 071222 '!$U$145,'For Trustees 071222 '!$U$146,'For Trustees 071222 '!$U$147,'For Trustees 071222 '!$Q$148,'For Trustees 071222 '!$R$148,'For Trustees 071222 '!$S$148,'For Trustees 071222 '!$H$148,'For Trustees 071222 '!$I$148,'For Trustees 071222 '!$J$148,'For Trustees 071222 '!$K$148,'For Trustees 071222 '!$L$148,'For Trustees 071222 '!$M$148,'For Trustees 071222 '!$N$148,'For Trustees 071222 '!$O$148,'For Trustees 071222 '!$T$148,'For Trustees 071222 '!$U$148</definedName>
    <definedName name="QB_FORMULA_17" localSheetId="8" hidden="1">'Working Copy 050522'!$U$117,'Working Copy 050522'!$U$118,'Working Copy 050522'!$U$119,'Working Copy 050522'!$Q$120,'Working Copy 050522'!$R$120,'Working Copy 050522'!$S$120,'Working Copy 050522'!$H$120,'Working Copy 050522'!$I$120,'Working Copy 050522'!$J$120,'Working Copy 050522'!$K$120,'Working Copy 050522'!$L$120,'Working Copy 050522'!$M$120,'Working Copy 050522'!$N$120,'Working Copy 050522'!$O$120,'Working Copy 050522'!$T$120,'Working Copy 050522'!$U$120</definedName>
    <definedName name="QB_FORMULA_17" localSheetId="6" hidden="1">'Working Copy 061422'!$U$145,'Working Copy 061422'!$U$146,'Working Copy 061422'!$U$147,'Working Copy 061422'!$Q$148,'Working Copy 061422'!$R$148,'Working Copy 061422'!$S$148,'Working Copy 061422'!$H$148,'Working Copy 061422'!$I$148,'Working Copy 061422'!$J$148,'Working Copy 061422'!$K$148,'Working Copy 061422'!$L$148,'Working Copy 061422'!$M$148,'Working Copy 061422'!$N$148,'Working Copy 061422'!$O$148,'Working Copy 061422'!$T$148,'Working Copy 061422'!$U$148</definedName>
    <definedName name="QB_FORMULA_17" localSheetId="3" hidden="1">'Working Copy 071222'!$U$145,'Working Copy 071222'!$U$146,'Working Copy 071222'!$U$147,'Working Copy 071222'!$Q$148,'Working Copy 071222'!$R$148,'Working Copy 071222'!$S$148,'Working Copy 071222'!$H$148,'Working Copy 071222'!$I$148,'Working Copy 071222'!$J$148,'Working Copy 071222'!$K$148,'Working Copy 071222'!$L$148,'Working Copy 071222'!$M$148,'Working Copy 071222'!$N$148,'Working Copy 071222'!$O$148,'Working Copy 071222'!$T$148,'Working Copy 071222'!$U$148</definedName>
    <definedName name="QB_FORMULA_18" localSheetId="10" hidden="1">'060421 For Trustees Prior Year '!$G$149,'060421 For Trustees Prior Year '!$H$149,'060421 For Trustees Prior Year '!$I$149,'060421 For Trustees Prior Year '!$J$149,'060421 For Trustees Prior Year '!$K$149,'060421 For Trustees Prior Year '!$L$149,'060421 For Trustees Prior Year '!$M$149,'060421 For Trustees Prior Year '!$N$149,'060421 For Trustees Prior Year '!$O$149,'060421 For Trustees Prior Year '!$P$149,'060421 For Trustees Prior Year '!$Q$149,'060421 For Trustees Prior Year '!$R$149,'060421 For Trustees Prior Year '!$W$149,'060421 For Trustees Prior Year '!$X$149,'060421 For Trustees Prior Year '!$X$152,'060421 For Trustees Prior Year '!$G$153</definedName>
    <definedName name="QB_FORMULA_18" localSheetId="9" hidden="1">'Ad Downloaded 042822'!$H$116,'Ad Downloaded 042822'!$I$116,'Ad Downloaded 042822'!$J$116,'Ad Downloaded 042822'!$K$116,'Ad Downloaded 042822'!$L$116,'Ad Downloaded 042822'!$M$116,'Ad Downloaded 042822'!$N$116,'Ad Downloaded 042822'!$O$116,'Ad Downloaded 042822'!$P$116,'Ad Downloaded 042822'!$Q$116,'Ad Downloaded 042822'!$R$116,'Ad Downloaded 042822'!$S$116,'Ad Downloaded 042822'!$T$116,'Ad Downloaded 042822'!$T$119,'Ad Downloaded 042822'!$H$120,'Ad Downloaded 042822'!$I$120</definedName>
    <definedName name="QB_FORMULA_18" localSheetId="1" hidden="1">'App Bud for Input'!$Q$149,'App Bud for Input'!$R$149,'App Bud for Input'!$S$149,'App Bud for Input'!$H$149,'App Bud for Input'!$I$149,'App Bud for Input'!$J$149,'App Bud for Input'!$K$149,'App Bud for Input'!$L$149,'App Bud for Input'!$M$149,'App Bud for Input'!$N$149,'App Bud for Input'!$O$149,'App Bud for Input'!$T$149,'App Bud for Input'!$U$149,'App Bud for Input'!$U$152,'App Bud for Input'!$Q$153,'App Bud for Input'!$R$153</definedName>
    <definedName name="QB_FORMULA_18" localSheetId="0" hidden="1">'Approved Budget'!$Q$149,'Approved Budget'!$R$149,'Approved Budget'!$S$149,'Approved Budget'!$H$149,'Approved Budget'!$I$149,'Approved Budget'!$J$149,'Approved Budget'!$K$149,'Approved Budget'!$L$149,'Approved Budget'!$M$149,'Approved Budget'!$N$149,'Approved Budget'!$O$149,'Approved Budget'!$T$149,'Approved Budget'!$U$149,'Approved Budget'!$U$152,'Approved Budget'!$Q$153,'Approved Budget'!$R$153</definedName>
    <definedName name="QB_FORMULA_18" localSheetId="5" hidden="1">'For Trustee 061422'!$Q$149,'For Trustee 061422'!$R$149,'For Trustee 061422'!$S$149,'For Trustee 061422'!$H$149,'For Trustee 061422'!$I$149,'For Trustee 061422'!$J$149,'For Trustee 061422'!$K$149,'For Trustee 061422'!$L$149,'For Trustee 061422'!$M$149,'For Trustee 061422'!$N$149,'For Trustee 061422'!$O$149,'For Trustee 061422'!$T$149,'For Trustee 061422'!$U$149,'For Trustee 061422'!$U$152,'For Trustee 061422'!$Q$153,'For Trustee 061422'!$R$153</definedName>
    <definedName name="QB_FORMULA_18" localSheetId="7" hidden="1">'For Trustees 050522'!$Q$149,'For Trustees 050522'!$R$149,'For Trustees 050522'!$S$149,'For Trustees 050522'!$H$149,'For Trustees 050522'!$I$149,'For Trustees 050522'!$J$149,'For Trustees 050522'!$K$149,'For Trustees 050522'!$L$149,'For Trustees 050522'!$M$149,'For Trustees 050522'!$N$149,'For Trustees 050522'!$O$149,'For Trustees 050522'!$T$149,'For Trustees 050522'!$U$149,'For Trustees 050522'!$U$152,'For Trustees 050522'!$Q$153,'For Trustees 050522'!$R$153</definedName>
    <definedName name="QB_FORMULA_18" localSheetId="2" hidden="1">'For Trustees 071222 '!$Q$149,'For Trustees 071222 '!$R$149,'For Trustees 071222 '!$S$149,'For Trustees 071222 '!$H$149,'For Trustees 071222 '!$I$149,'For Trustees 071222 '!$J$149,'For Trustees 071222 '!$K$149,'For Trustees 071222 '!$L$149,'For Trustees 071222 '!$M$149,'For Trustees 071222 '!$N$149,'For Trustees 071222 '!$O$149,'For Trustees 071222 '!$T$149,'For Trustees 071222 '!$U$149,'For Trustees 071222 '!$U$152,'For Trustees 071222 '!$Q$153,'For Trustees 071222 '!$R$153</definedName>
    <definedName name="QB_FORMULA_18" localSheetId="8" hidden="1">'Working Copy 050522'!$Q$121,'Working Copy 050522'!$R$121,'Working Copy 050522'!$S$121,'Working Copy 050522'!$H$121,'Working Copy 050522'!$I$121,'Working Copy 050522'!$J$121,'Working Copy 050522'!$K$121,'Working Copy 050522'!$L$121,'Working Copy 050522'!$M$121,'Working Copy 050522'!$N$121,'Working Copy 050522'!$O$121,'Working Copy 050522'!$T$121,'Working Copy 050522'!$U$121,'Working Copy 050522'!$U$124,'Working Copy 050522'!$Q$125,'Working Copy 050522'!$R$125</definedName>
    <definedName name="QB_FORMULA_18" localSheetId="6" hidden="1">'Working Copy 061422'!$Q$149,'Working Copy 061422'!$R$149,'Working Copy 061422'!$S$149,'Working Copy 061422'!$H$149,'Working Copy 061422'!$I$149,'Working Copy 061422'!$J$149,'Working Copy 061422'!$K$149,'Working Copy 061422'!$L$149,'Working Copy 061422'!$M$149,'Working Copy 061422'!$N$149,'Working Copy 061422'!$O$149,'Working Copy 061422'!$T$149,'Working Copy 061422'!$U$149,'Working Copy 061422'!$U$152,'Working Copy 061422'!$Q$153,'Working Copy 061422'!$R$153</definedName>
    <definedName name="QB_FORMULA_18" localSheetId="3" hidden="1">'Working Copy 071222'!$Q$149,'Working Copy 071222'!$R$149,'Working Copy 071222'!$S$149,'Working Copy 071222'!$H$149,'Working Copy 071222'!$I$149,'Working Copy 071222'!$J$149,'Working Copy 071222'!$K$149,'Working Copy 071222'!$L$149,'Working Copy 071222'!$M$149,'Working Copy 071222'!$N$149,'Working Copy 071222'!$O$149,'Working Copy 071222'!$T$149,'Working Copy 071222'!$U$149,'Working Copy 071222'!$U$152,'Working Copy 071222'!$Q$153,'Working Copy 071222'!$R$153</definedName>
    <definedName name="QB_FORMULA_19" localSheetId="10" hidden="1">'060421 For Trustees Prior Year '!$H$153,'060421 For Trustees Prior Year '!$I$153,'060421 For Trustees Prior Year '!$J$153,'060421 For Trustees Prior Year '!$K$153,'060421 For Trustees Prior Year '!$L$153,'060421 For Trustees Prior Year '!$M$153,'060421 For Trustees Prior Year '!$N$153,'060421 For Trustees Prior Year '!$O$153,'060421 For Trustees Prior Year '!$P$153,'060421 For Trustees Prior Year '!$Q$153,'060421 For Trustees Prior Year '!$R$153,'060421 For Trustees Prior Year '!$W$153,'060421 For Trustees Prior Year '!$X$153,'060421 For Trustees Prior Year '!$X$154,'060421 For Trustees Prior Year '!$G$155,'060421 For Trustees Prior Year '!$H$155</definedName>
    <definedName name="QB_FORMULA_19" localSheetId="9" hidden="1">'Ad Downloaded 042822'!$J$120,'Ad Downloaded 042822'!$K$120,'Ad Downloaded 042822'!$L$120,'Ad Downloaded 042822'!$M$120,'Ad Downloaded 042822'!$N$120,'Ad Downloaded 042822'!$O$120,'Ad Downloaded 042822'!$P$120,'Ad Downloaded 042822'!$Q$120,'Ad Downloaded 042822'!$R$120,'Ad Downloaded 042822'!$S$120,'Ad Downloaded 042822'!$T$120,'Ad Downloaded 042822'!$T$121,'Ad Downloaded 042822'!$H$122,'Ad Downloaded 042822'!$I$122,'Ad Downloaded 042822'!$J$122,'Ad Downloaded 042822'!$K$122</definedName>
    <definedName name="QB_FORMULA_19" localSheetId="1" hidden="1">'App Bud for Input'!$S$153,'App Bud for Input'!$H$153,'App Bud for Input'!$I$153,'App Bud for Input'!$J$153,'App Bud for Input'!$K$153,'App Bud for Input'!$L$153,'App Bud for Input'!$M$153,'App Bud for Input'!$N$153,'App Bud for Input'!$O$153,'App Bud for Input'!$T$153,'App Bud for Input'!$U$153,'App Bud for Input'!$U$154,'App Bud for Input'!$Q$155,'App Bud for Input'!$R$155,'App Bud for Input'!$S$155,'App Bud for Input'!$H$155</definedName>
    <definedName name="QB_FORMULA_19" localSheetId="0" hidden="1">'Approved Budget'!$S$153,'Approved Budget'!$H$153,'Approved Budget'!$I$153,'Approved Budget'!$J$153,'Approved Budget'!$K$153,'Approved Budget'!$L$153,'Approved Budget'!$M$153,'Approved Budget'!$N$153,'Approved Budget'!$O$153,'Approved Budget'!$T$153,'Approved Budget'!$U$153,'Approved Budget'!$U$154,'Approved Budget'!$Q$155,'Approved Budget'!$R$155,'Approved Budget'!$S$155,'Approved Budget'!$H$155</definedName>
    <definedName name="QB_FORMULA_19" localSheetId="5" hidden="1">'For Trustee 061422'!$S$153,'For Trustee 061422'!$H$153,'For Trustee 061422'!$I$153,'For Trustee 061422'!$J$153,'For Trustee 061422'!$K$153,'For Trustee 061422'!$L$153,'For Trustee 061422'!$M$153,'For Trustee 061422'!$N$153,'For Trustee 061422'!$O$153,'For Trustee 061422'!$T$153,'For Trustee 061422'!$U$153,'For Trustee 061422'!$U$154,'For Trustee 061422'!$Q$155,'For Trustee 061422'!$R$155,'For Trustee 061422'!$S$155,'For Trustee 061422'!$H$155</definedName>
    <definedName name="QB_FORMULA_19" localSheetId="7" hidden="1">'For Trustees 050522'!$S$153,'For Trustees 050522'!$H$153,'For Trustees 050522'!$I$153,'For Trustees 050522'!$J$153,'For Trustees 050522'!$K$153,'For Trustees 050522'!$L$153,'For Trustees 050522'!$M$153,'For Trustees 050522'!$N$153,'For Trustees 050522'!$O$153,'For Trustees 050522'!$T$153,'For Trustees 050522'!$U$153,'For Trustees 050522'!$U$154,'For Trustees 050522'!$Q$155,'For Trustees 050522'!$R$155,'For Trustees 050522'!$S$155,'For Trustees 050522'!$H$155</definedName>
    <definedName name="QB_FORMULA_19" localSheetId="2" hidden="1">'For Trustees 071222 '!$S$153,'For Trustees 071222 '!$H$153,'For Trustees 071222 '!$I$153,'For Trustees 071222 '!$J$153,'For Trustees 071222 '!$K$153,'For Trustees 071222 '!$L$153,'For Trustees 071222 '!$M$153,'For Trustees 071222 '!$N$153,'For Trustees 071222 '!$O$153,'For Trustees 071222 '!$T$153,'For Trustees 071222 '!$U$153,'For Trustees 071222 '!$U$154,'For Trustees 071222 '!$Q$155,'For Trustees 071222 '!$R$155,'For Trustees 071222 '!$S$155,'For Trustees 071222 '!$H$155</definedName>
    <definedName name="QB_FORMULA_19" localSheetId="8" hidden="1">'Working Copy 050522'!$S$125,'Working Copy 050522'!$H$125,'Working Copy 050522'!$I$125,'Working Copy 050522'!$J$125,'Working Copy 050522'!$K$125,'Working Copy 050522'!$L$125,'Working Copy 050522'!$M$125,'Working Copy 050522'!$N$125,'Working Copy 050522'!$O$125,'Working Copy 050522'!$T$125,'Working Copy 050522'!$U$125,'Working Copy 050522'!$U$126,'Working Copy 050522'!$Q$127,'Working Copy 050522'!$R$127,'Working Copy 050522'!$S$127,'Working Copy 050522'!$H$127</definedName>
    <definedName name="QB_FORMULA_19" localSheetId="6" hidden="1">'Working Copy 061422'!$S$153,'Working Copy 061422'!$H$153,'Working Copy 061422'!$I$153,'Working Copy 061422'!$J$153,'Working Copy 061422'!$K$153,'Working Copy 061422'!$L$153,'Working Copy 061422'!$M$153,'Working Copy 061422'!$N$153,'Working Copy 061422'!$O$153,'Working Copy 061422'!$T$153,'Working Copy 061422'!$U$153,'Working Copy 061422'!$U$154,'Working Copy 061422'!$Q$155,'Working Copy 061422'!$R$155,'Working Copy 061422'!$S$155,'Working Copy 061422'!$H$155</definedName>
    <definedName name="QB_FORMULA_19" localSheetId="3" hidden="1">'Working Copy 071222'!$S$153,'Working Copy 071222'!$H$153,'Working Copy 071222'!$I$153,'Working Copy 071222'!$J$153,'Working Copy 071222'!$K$153,'Working Copy 071222'!$L$153,'Working Copy 071222'!$M$153,'Working Copy 071222'!$N$153,'Working Copy 071222'!$O$153,'Working Copy 071222'!$T$153,'Working Copy 071222'!$U$153,'Working Copy 071222'!$U$154,'Working Copy 071222'!$Q$155,'Working Copy 071222'!$R$155,'Working Copy 071222'!$S$155,'Working Copy 071222'!$H$155</definedName>
    <definedName name="QB_FORMULA_2" localSheetId="10" hidden="1">'060421 For Trustees Prior Year '!$K$21,'060421 For Trustees Prior Year '!$L$21,'060421 For Trustees Prior Year '!$M$21,'060421 For Trustees Prior Year '!$N$21,'060421 For Trustees Prior Year '!$O$21,'060421 For Trustees Prior Year '!$P$21,'060421 For Trustees Prior Year '!$Q$21,'060421 For Trustees Prior Year '!$R$21,'060421 For Trustees Prior Year '!$W$21,'060421 For Trustees Prior Year '!$X$21,'060421 For Trustees Prior Year '!$X$23,'060421 For Trustees Prior Year '!$X$24,'060421 For Trustees Prior Year '!$X$25,'060421 For Trustees Prior Year '!$X$26,'060421 For Trustees Prior Year '!$X$27,'060421 For Trustees Prior Year '!$X$28</definedName>
    <definedName name="QB_FORMULA_2" localSheetId="9" hidden="1">'Ad Downloaded 042822'!$L$22,'Ad Downloaded 042822'!$M$22,'Ad Downloaded 042822'!$N$22,'Ad Downloaded 042822'!$O$22,'Ad Downloaded 042822'!$P$22,'Ad Downloaded 042822'!$Q$22,'Ad Downloaded 042822'!$R$22,'Ad Downloaded 042822'!$S$22,'Ad Downloaded 042822'!$T$22,'Ad Downloaded 042822'!$T$24,'Ad Downloaded 042822'!$T$25,'Ad Downloaded 042822'!$T$26,'Ad Downloaded 042822'!$T$27,'Ad Downloaded 042822'!$T$28,'Ad Downloaded 042822'!$T$29,'Ad Downloaded 042822'!$T$30</definedName>
    <definedName name="QB_FORMULA_2" localSheetId="1" hidden="1">'App Bud for Input'!$I$22,'App Bud for Input'!$J$22,'App Bud for Input'!$K$22,'App Bud for Input'!$L$22,'App Bud for Input'!$M$22,'App Bud for Input'!$N$22,'App Bud for Input'!$O$22,'App Bud for Input'!$T$22,'App Bud for Input'!$U$22,'App Bud for Input'!$U$24,'App Bud for Input'!$U$25,'App Bud for Input'!$U$26,'App Bud for Input'!$U$27,'App Bud for Input'!$U$28,'App Bud for Input'!$U$29,'App Bud for Input'!$U$31</definedName>
    <definedName name="QB_FORMULA_2" localSheetId="0" hidden="1">'Approved Budget'!$I$22,'Approved Budget'!$J$22,'Approved Budget'!$K$22,'Approved Budget'!$L$22,'Approved Budget'!$M$22,'Approved Budget'!$N$22,'Approved Budget'!$O$22,'Approved Budget'!$T$22,'Approved Budget'!$U$22,'Approved Budget'!$U$24,'Approved Budget'!$U$25,'Approved Budget'!$U$26,'Approved Budget'!$U$27,'Approved Budget'!$U$28,'Approved Budget'!$U$29,'Approved Budget'!$U$31</definedName>
    <definedName name="QB_FORMULA_2" localSheetId="5" hidden="1">'For Trustee 061422'!$I$22,'For Trustee 061422'!$J$22,'For Trustee 061422'!$K$22,'For Trustee 061422'!$L$22,'For Trustee 061422'!$M$22,'For Trustee 061422'!$N$22,'For Trustee 061422'!$O$22,'For Trustee 061422'!$T$22,'For Trustee 061422'!$U$22,'For Trustee 061422'!$U$24,'For Trustee 061422'!$U$25,'For Trustee 061422'!$U$26,'For Trustee 061422'!$U$27,'For Trustee 061422'!$U$28,'For Trustee 061422'!$U$29,'For Trustee 061422'!$U$31</definedName>
    <definedName name="QB_FORMULA_2" localSheetId="7" hidden="1">'For Trustees 050522'!$I$22,'For Trustees 050522'!$J$22,'For Trustees 050522'!$K$22,'For Trustees 050522'!$L$22,'For Trustees 050522'!$M$22,'For Trustees 050522'!$N$22,'For Trustees 050522'!$O$22,'For Trustees 050522'!$T$22,'For Trustees 050522'!$U$22,'For Trustees 050522'!$U$24,'For Trustees 050522'!$U$25,'For Trustees 050522'!$U$26,'For Trustees 050522'!$U$27,'For Trustees 050522'!$U$28,'For Trustees 050522'!$U$29,'For Trustees 050522'!$U$31</definedName>
    <definedName name="QB_FORMULA_2" localSheetId="2" hidden="1">'For Trustees 071222 '!$I$22,'For Trustees 071222 '!$J$22,'For Trustees 071222 '!$K$22,'For Trustees 071222 '!$L$22,'For Trustees 071222 '!$M$22,'For Trustees 071222 '!$N$22,'For Trustees 071222 '!$O$22,'For Trustees 071222 '!$T$22,'For Trustees 071222 '!$U$22,'For Trustees 071222 '!$U$24,'For Trustees 071222 '!$U$25,'For Trustees 071222 '!$U$26,'For Trustees 071222 '!$U$27,'For Trustees 071222 '!$U$28,'For Trustees 071222 '!$U$29,'For Trustees 071222 '!$U$31</definedName>
    <definedName name="QB_FORMULA_2" localSheetId="8" hidden="1">'Working Copy 050522'!$I$22,'Working Copy 050522'!$J$22,'Working Copy 050522'!$K$22,'Working Copy 050522'!$L$22,'Working Copy 050522'!$M$22,'Working Copy 050522'!$N$22,'Working Copy 050522'!$O$22,'Working Copy 050522'!$T$22,'Working Copy 050522'!$U$22,'Working Copy 050522'!$U$24,'Working Copy 050522'!$U$25,'Working Copy 050522'!$U$26,'Working Copy 050522'!$U$27,'Working Copy 050522'!$U$28,'Working Copy 050522'!$U$29,'Working Copy 050522'!$U$31</definedName>
    <definedName name="QB_FORMULA_2" localSheetId="6" hidden="1">'Working Copy 061422'!$I$22,'Working Copy 061422'!$J$22,'Working Copy 061422'!$K$22,'Working Copy 061422'!$L$22,'Working Copy 061422'!$M$22,'Working Copy 061422'!$N$22,'Working Copy 061422'!$O$22,'Working Copy 061422'!$T$22,'Working Copy 061422'!$U$22,'Working Copy 061422'!$U$24,'Working Copy 061422'!$U$25,'Working Copy 061422'!$U$26,'Working Copy 061422'!$U$27,'Working Copy 061422'!$U$28,'Working Copy 061422'!$U$29,'Working Copy 061422'!$U$31</definedName>
    <definedName name="QB_FORMULA_2" localSheetId="3" hidden="1">'Working Copy 071222'!$I$22,'Working Copy 071222'!$J$22,'Working Copy 071222'!$K$22,'Working Copy 071222'!$L$22,'Working Copy 071222'!$M$22,'Working Copy 071222'!$N$22,'Working Copy 071222'!$O$22,'Working Copy 071222'!$T$22,'Working Copy 071222'!$U$22,'Working Copy 071222'!$U$24,'Working Copy 071222'!$U$25,'Working Copy 071222'!$U$26,'Working Copy 071222'!$U$27,'Working Copy 071222'!$U$28,'Working Copy 071222'!$U$29,'Working Copy 071222'!$U$31</definedName>
    <definedName name="QB_FORMULA_20" localSheetId="10" hidden="1">'060421 For Trustees Prior Year '!$I$155,'060421 For Trustees Prior Year '!$J$155,'060421 For Trustees Prior Year '!$K$155,'060421 For Trustees Prior Year '!$L$155,'060421 For Trustees Prior Year '!$M$155,'060421 For Trustees Prior Year '!$N$155,'060421 For Trustees Prior Year '!$O$155,'060421 For Trustees Prior Year '!$P$155,'060421 For Trustees Prior Year '!$Q$155,'060421 For Trustees Prior Year '!$R$155,'060421 For Trustees Prior Year '!$W$155,'060421 For Trustees Prior Year '!$X$155,'060421 For Trustees Prior Year '!$X$161,'060421 For Trustees Prior Year '!$G$162,'060421 For Trustees Prior Year '!$H$162,'060421 For Trustees Prior Year '!$I$162</definedName>
    <definedName name="QB_FORMULA_20" localSheetId="9" hidden="1">'Ad Downloaded 042822'!$L$122,'Ad Downloaded 042822'!$M$122,'Ad Downloaded 042822'!$N$122,'Ad Downloaded 042822'!$O$122,'Ad Downloaded 042822'!$P$122,'Ad Downloaded 042822'!$Q$122,'Ad Downloaded 042822'!$R$122,'Ad Downloaded 042822'!$S$122,'Ad Downloaded 042822'!$T$122,'Ad Downloaded 042822'!$T$125,'Ad Downloaded 042822'!$H$126,'Ad Downloaded 042822'!$I$126,'Ad Downloaded 042822'!$J$126,'Ad Downloaded 042822'!$K$126,'Ad Downloaded 042822'!$L$126,'Ad Downloaded 042822'!$M$126</definedName>
    <definedName name="QB_FORMULA_20" localSheetId="1" hidden="1">'App Bud for Input'!$I$155,'App Bud for Input'!$J$155,'App Bud for Input'!$K$155,'App Bud for Input'!$L$155,'App Bud for Input'!$M$155,'App Bud for Input'!$N$155,'App Bud for Input'!$O$155,'App Bud for Input'!$T$155,'App Bud for Input'!$U$155,'App Bud for Input'!$U$159,'App Bud for Input'!$Q$162,'App Bud for Input'!$R$162,'App Bud for Input'!$S$162,'App Bud for Input'!$H$162,'App Bud for Input'!$I$162,'App Bud for Input'!$J$162</definedName>
    <definedName name="QB_FORMULA_20" localSheetId="0" hidden="1">'Approved Budget'!$I$155,'Approved Budget'!$J$155,'Approved Budget'!$K$155,'Approved Budget'!$L$155,'Approved Budget'!$M$155,'Approved Budget'!$N$155,'Approved Budget'!$O$155,'Approved Budget'!$T$155,'Approved Budget'!$U$155,'Approved Budget'!$U$159,'Approved Budget'!$Q$162,'Approved Budget'!$R$162,'Approved Budget'!$S$162,'Approved Budget'!$H$162,'Approved Budget'!$I$162,'Approved Budget'!$J$162</definedName>
    <definedName name="QB_FORMULA_20" localSheetId="5" hidden="1">'For Trustee 061422'!$I$155,'For Trustee 061422'!$J$155,'For Trustee 061422'!$K$155,'For Trustee 061422'!$L$155,'For Trustee 061422'!$M$155,'For Trustee 061422'!$N$155,'For Trustee 061422'!$O$155,'For Trustee 061422'!$T$155,'For Trustee 061422'!$U$155,'For Trustee 061422'!$U$159,'For Trustee 061422'!$Q$162,'For Trustee 061422'!$R$162,'For Trustee 061422'!$S$162,'For Trustee 061422'!$H$162,'For Trustee 061422'!$I$162,'For Trustee 061422'!$J$162</definedName>
    <definedName name="QB_FORMULA_20" localSheetId="7" hidden="1">'For Trustees 050522'!$I$155,'For Trustees 050522'!$J$155,'For Trustees 050522'!$K$155,'For Trustees 050522'!$L$155,'For Trustees 050522'!$M$155,'For Trustees 050522'!$N$155,'For Trustees 050522'!$O$155,'For Trustees 050522'!$T$155,'For Trustees 050522'!$U$155,'For Trustees 050522'!$U$159,'For Trustees 050522'!$Q$162,'For Trustees 050522'!$R$162,'For Trustees 050522'!$S$162,'For Trustees 050522'!$H$162,'For Trustees 050522'!$I$162,'For Trustees 050522'!$J$162</definedName>
    <definedName name="QB_FORMULA_20" localSheetId="2" hidden="1">'For Trustees 071222 '!$I$155,'For Trustees 071222 '!$J$155,'For Trustees 071222 '!$K$155,'For Trustees 071222 '!$L$155,'For Trustees 071222 '!$M$155,'For Trustees 071222 '!$N$155,'For Trustees 071222 '!$O$155,'For Trustees 071222 '!$T$155,'For Trustees 071222 '!$U$155,'For Trustees 071222 '!$U$159,'For Trustees 071222 '!$Q$162,'For Trustees 071222 '!$R$162,'For Trustees 071222 '!$S$162,'For Trustees 071222 '!$H$162,'For Trustees 071222 '!$I$162,'For Trustees 071222 '!$J$162</definedName>
    <definedName name="QB_FORMULA_20" localSheetId="8" hidden="1">'Working Copy 050522'!$I$127,'Working Copy 050522'!$J$127,'Working Copy 050522'!$K$127,'Working Copy 050522'!$L$127,'Working Copy 050522'!$M$127,'Working Copy 050522'!$N$127,'Working Copy 050522'!$O$127,'Working Copy 050522'!$T$127,'Working Copy 050522'!$U$127,'Working Copy 050522'!$U$131,'Working Copy 050522'!$Q$134,'Working Copy 050522'!$R$134,'Working Copy 050522'!$S$134,'Working Copy 050522'!$H$134,'Working Copy 050522'!$I$134,'Working Copy 050522'!$J$134</definedName>
    <definedName name="QB_FORMULA_20" localSheetId="6" hidden="1">'Working Copy 061422'!$I$155,'Working Copy 061422'!$J$155,'Working Copy 061422'!$K$155,'Working Copy 061422'!$L$155,'Working Copy 061422'!$M$155,'Working Copy 061422'!$N$155,'Working Copy 061422'!$O$155,'Working Copy 061422'!$T$155,'Working Copy 061422'!$U$155,'Working Copy 061422'!$U$159,'Working Copy 061422'!$Q$162,'Working Copy 061422'!$R$162,'Working Copy 061422'!$S$162,'Working Copy 061422'!$H$162,'Working Copy 061422'!$I$162,'Working Copy 061422'!$J$162</definedName>
    <definedName name="QB_FORMULA_20" localSheetId="3" hidden="1">'Working Copy 071222'!$I$155,'Working Copy 071222'!$J$155,'Working Copy 071222'!$K$155,'Working Copy 071222'!$L$155,'Working Copy 071222'!$M$155,'Working Copy 071222'!$N$155,'Working Copy 071222'!$O$155,'Working Copy 071222'!$T$155,'Working Copy 071222'!$U$155,'Working Copy 071222'!$U$159,'Working Copy 071222'!$Q$162,'Working Copy 071222'!$R$162,'Working Copy 071222'!$S$162,'Working Copy 071222'!$H$162,'Working Copy 071222'!$I$162,'Working Copy 071222'!$J$162</definedName>
    <definedName name="QB_FORMULA_21" localSheetId="10" hidden="1">'060421 For Trustees Prior Year '!$J$162,'060421 For Trustees Prior Year '!$K$162,'060421 For Trustees Prior Year '!$L$162,'060421 For Trustees Prior Year '!$M$162,'060421 For Trustees Prior Year '!$N$162,'060421 For Trustees Prior Year '!$O$162,'060421 For Trustees Prior Year '!$P$162,'060421 For Trustees Prior Year '!$Q$162,'060421 For Trustees Prior Year '!$R$162,'060421 For Trustees Prior Year '!$W$162,'060421 For Trustees Prior Year '!$X$162,'060421 For Trustees Prior Year '!$X$164,'060421 For Trustees Prior Year '!$G$165,'060421 For Trustees Prior Year '!$H$165,'060421 For Trustees Prior Year '!$I$165,'060421 For Trustees Prior Year '!$J$165</definedName>
    <definedName name="QB_FORMULA_21" localSheetId="9" hidden="1">'Ad Downloaded 042822'!$N$126,'Ad Downloaded 042822'!$O$126,'Ad Downloaded 042822'!$P$126,'Ad Downloaded 042822'!$Q$126,'Ad Downloaded 042822'!$R$126,'Ad Downloaded 042822'!$S$126,'Ad Downloaded 042822'!$T$126,'Ad Downloaded 042822'!$T$128,'Ad Downloaded 042822'!$H$129,'Ad Downloaded 042822'!$I$129,'Ad Downloaded 042822'!$J$129,'Ad Downloaded 042822'!$K$129,'Ad Downloaded 042822'!$L$129,'Ad Downloaded 042822'!$M$129,'Ad Downloaded 042822'!$N$129,'Ad Downloaded 042822'!$O$129</definedName>
    <definedName name="QB_FORMULA_21" localSheetId="1" hidden="1">'App Bud for Input'!$K$162,'App Bud for Input'!$L$162,'App Bud for Input'!$M$162,'App Bud for Input'!$N$162,'App Bud for Input'!$O$162,'App Bud for Input'!$T$162,'App Bud for Input'!$U$162,'App Bud for Input'!$U$164,'App Bud for Input'!$Q$165,'App Bud for Input'!$R$165,'App Bud for Input'!$S$165,'App Bud for Input'!$H$165,'App Bud for Input'!$I$165,'App Bud for Input'!$J$165,'App Bud for Input'!$K$165,'App Bud for Input'!$L$165</definedName>
    <definedName name="QB_FORMULA_21" localSheetId="0" hidden="1">'Approved Budget'!$K$162,'Approved Budget'!$L$162,'Approved Budget'!$M$162,'Approved Budget'!$N$162,'Approved Budget'!$O$162,'Approved Budget'!$T$162,'Approved Budget'!$U$162,'Approved Budget'!$U$164,'Approved Budget'!$Q$165,'Approved Budget'!$R$165,'Approved Budget'!$S$165,'Approved Budget'!$H$165,'Approved Budget'!$I$165,'Approved Budget'!$J$165,'Approved Budget'!$K$165,'Approved Budget'!$L$165</definedName>
    <definedName name="QB_FORMULA_21" localSheetId="5" hidden="1">'For Trustee 061422'!$K$162,'For Trustee 061422'!$L$162,'For Trustee 061422'!$M$162,'For Trustee 061422'!$N$162,'For Trustee 061422'!$O$162,'For Trustee 061422'!$T$162,'For Trustee 061422'!$U$162,'For Trustee 061422'!$U$164,'For Trustee 061422'!$Q$165,'For Trustee 061422'!$R$165,'For Trustee 061422'!$S$165,'For Trustee 061422'!$H$165,'For Trustee 061422'!$I$165,'For Trustee 061422'!$J$165,'For Trustee 061422'!$K$165,'For Trustee 061422'!$L$165</definedName>
    <definedName name="QB_FORMULA_21" localSheetId="7" hidden="1">'For Trustees 050522'!$K$162,'For Trustees 050522'!$L$162,'For Trustees 050522'!$M$162,'For Trustees 050522'!$N$162,'For Trustees 050522'!$O$162,'For Trustees 050522'!$T$162,'For Trustees 050522'!$U$162,'For Trustees 050522'!$U$164,'For Trustees 050522'!$Q$165,'For Trustees 050522'!$R$165,'For Trustees 050522'!$S$165,'For Trustees 050522'!$H$165,'For Trustees 050522'!$I$165,'For Trustees 050522'!$J$165,'For Trustees 050522'!$K$165,'For Trustees 050522'!$L$165</definedName>
    <definedName name="QB_FORMULA_21" localSheetId="2" hidden="1">'For Trustees 071222 '!$K$162,'For Trustees 071222 '!$L$162,'For Trustees 071222 '!$M$162,'For Trustees 071222 '!$N$162,'For Trustees 071222 '!$O$162,'For Trustees 071222 '!$T$162,'For Trustees 071222 '!$U$162,'For Trustees 071222 '!$U$164,'For Trustees 071222 '!$Q$165,'For Trustees 071222 '!$R$165,'For Trustees 071222 '!$S$165,'For Trustees 071222 '!$H$165,'For Trustees 071222 '!$I$165,'For Trustees 071222 '!$J$165,'For Trustees 071222 '!$K$165,'For Trustees 071222 '!$L$165</definedName>
    <definedName name="QB_FORMULA_21" localSheetId="8" hidden="1">'Working Copy 050522'!$K$134,'Working Copy 050522'!$L$134,'Working Copy 050522'!$M$134,'Working Copy 050522'!$N$134,'Working Copy 050522'!$O$134,'Working Copy 050522'!$T$134,'Working Copy 050522'!$U$134,'Working Copy 050522'!$U$136,'Working Copy 050522'!$Q$137,'Working Copy 050522'!$R$137,'Working Copy 050522'!$S$137,'Working Copy 050522'!$H$137,'Working Copy 050522'!$I$137,'Working Copy 050522'!$J$137,'Working Copy 050522'!$K$137,'Working Copy 050522'!$L$137</definedName>
    <definedName name="QB_FORMULA_21" localSheetId="6" hidden="1">'Working Copy 061422'!$K$162,'Working Copy 061422'!$L$162,'Working Copy 061422'!$M$162,'Working Copy 061422'!$N$162,'Working Copy 061422'!$O$162,'Working Copy 061422'!$T$162,'Working Copy 061422'!$U$162,'Working Copy 061422'!$U$164,'Working Copy 061422'!$Q$165,'Working Copy 061422'!$R$165,'Working Copy 061422'!$S$165,'Working Copy 061422'!$H$165,'Working Copy 061422'!$I$165,'Working Copy 061422'!$J$165,'Working Copy 061422'!$K$165,'Working Copy 061422'!$L$165</definedName>
    <definedName name="QB_FORMULA_21" localSheetId="3" hidden="1">'Working Copy 071222'!$K$162,'Working Copy 071222'!$L$162,'Working Copy 071222'!$M$162,'Working Copy 071222'!$N$162,'Working Copy 071222'!$O$162,'Working Copy 071222'!$T$162,'Working Copy 071222'!$U$162,'Working Copy 071222'!$U$164,'Working Copy 071222'!$Q$165,'Working Copy 071222'!$R$165,'Working Copy 071222'!$S$165,'Working Copy 071222'!$H$165,'Working Copy 071222'!$I$165,'Working Copy 071222'!$J$165,'Working Copy 071222'!$K$165,'Working Copy 071222'!$L$165</definedName>
    <definedName name="QB_FORMULA_22" localSheetId="10" hidden="1">'060421 For Trustees Prior Year '!$K$165,'060421 For Trustees Prior Year '!$L$165,'060421 For Trustees Prior Year '!$M$165,'060421 For Trustees Prior Year '!$N$165,'060421 For Trustees Prior Year '!$O$165,'060421 For Trustees Prior Year '!$P$165,'060421 For Trustees Prior Year '!$Q$165,'060421 For Trustees Prior Year '!$R$165,'060421 For Trustees Prior Year '!$W$165,'060421 For Trustees Prior Year '!$X$165,'060421 For Trustees Prior Year '!$X$167,'060421 For Trustees Prior Year '!$X$168,'060421 For Trustees Prior Year '!$X$169,'060421 For Trustees Prior Year '!$G$170,'060421 For Trustees Prior Year '!$H$170,'060421 For Trustees Prior Year '!$I$170</definedName>
    <definedName name="QB_FORMULA_22" localSheetId="9" hidden="1">'Ad Downloaded 042822'!$P$129,'Ad Downloaded 042822'!$Q$129,'Ad Downloaded 042822'!$R$129,'Ad Downloaded 042822'!$S$129,'Ad Downloaded 042822'!$T$129,'Ad Downloaded 042822'!$T$131,'Ad Downloaded 042822'!$H$132,'Ad Downloaded 042822'!$I$132,'Ad Downloaded 042822'!$J$132,'Ad Downloaded 042822'!$K$132,'Ad Downloaded 042822'!$L$132,'Ad Downloaded 042822'!$M$132,'Ad Downloaded 042822'!$N$132,'Ad Downloaded 042822'!$O$132,'Ad Downloaded 042822'!$P$132,'Ad Downloaded 042822'!$Q$132</definedName>
    <definedName name="QB_FORMULA_22" localSheetId="1" hidden="1">'App Bud for Input'!$M$165,'App Bud for Input'!$N$165,'App Bud for Input'!$O$165,'App Bud for Input'!$T$165,'App Bud for Input'!$U$165,'App Bud for Input'!$U$169,'App Bud for Input'!$Q$170,'App Bud for Input'!$R$170,'App Bud for Input'!$S$170,'App Bud for Input'!$H$170,'App Bud for Input'!$I$170,'App Bud for Input'!$J$170,'App Bud for Input'!$K$170,'App Bud for Input'!$L$170,'App Bud for Input'!$M$170,'App Bud for Input'!$N$170</definedName>
    <definedName name="QB_FORMULA_22" localSheetId="0" hidden="1">'Approved Budget'!$M$165,'Approved Budget'!$N$165,'Approved Budget'!$O$165,'Approved Budget'!$T$165,'Approved Budget'!$U$165,'Approved Budget'!$U$169,'Approved Budget'!$Q$170,'Approved Budget'!$R$170,'Approved Budget'!$S$170,'Approved Budget'!$H$170,'Approved Budget'!$I$170,'Approved Budget'!$J$170,'Approved Budget'!$K$170,'Approved Budget'!$L$170,'Approved Budget'!$M$170,'Approved Budget'!$N$170</definedName>
    <definedName name="QB_FORMULA_22" localSheetId="5" hidden="1">'For Trustee 061422'!$M$165,'For Trustee 061422'!$N$165,'For Trustee 061422'!$O$165,'For Trustee 061422'!$T$165,'For Trustee 061422'!$U$165,'For Trustee 061422'!$U$169,'For Trustee 061422'!$Q$170,'For Trustee 061422'!$R$170,'For Trustee 061422'!$S$170,'For Trustee 061422'!$H$170,'For Trustee 061422'!$I$170,'For Trustee 061422'!$J$170,'For Trustee 061422'!$K$170,'For Trustee 061422'!$L$170,'For Trustee 061422'!$M$170,'For Trustee 061422'!$N$170</definedName>
    <definedName name="QB_FORMULA_22" localSheetId="7" hidden="1">'For Trustees 050522'!$M$165,'For Trustees 050522'!$N$165,'For Trustees 050522'!$O$165,'For Trustees 050522'!$T$165,'For Trustees 050522'!$U$165,'For Trustees 050522'!$U$169,'For Trustees 050522'!$Q$170,'For Trustees 050522'!$R$170,'For Trustees 050522'!$S$170,'For Trustees 050522'!$H$170,'For Trustees 050522'!$I$170,'For Trustees 050522'!$J$170,'For Trustees 050522'!$K$170,'For Trustees 050522'!$L$170,'For Trustees 050522'!$M$170,'For Trustees 050522'!$N$170</definedName>
    <definedName name="QB_FORMULA_22" localSheetId="2" hidden="1">'For Trustees 071222 '!$M$165,'For Trustees 071222 '!$N$165,'For Trustees 071222 '!$O$165,'For Trustees 071222 '!$T$165,'For Trustees 071222 '!$U$165,'For Trustees 071222 '!$U$169,'For Trustees 071222 '!$Q$170,'For Trustees 071222 '!$R$170,'For Trustees 071222 '!$S$170,'For Trustees 071222 '!$H$170,'For Trustees 071222 '!$I$170,'For Trustees 071222 '!$J$170,'For Trustees 071222 '!$K$170,'For Trustees 071222 '!$L$170,'For Trustees 071222 '!$M$170,'For Trustees 071222 '!$N$170</definedName>
    <definedName name="QB_FORMULA_22" localSheetId="8" hidden="1">'Working Copy 050522'!$M$137,'Working Copy 050522'!$N$137,'Working Copy 050522'!$O$137,'Working Copy 050522'!$T$137,'Working Copy 050522'!$U$137,'Working Copy 050522'!$U$141,'Working Copy 050522'!$Q$142,'Working Copy 050522'!$R$142,'Working Copy 050522'!$S$142,'Working Copy 050522'!$H$142,'Working Copy 050522'!$I$142,'Working Copy 050522'!$J$142,'Working Copy 050522'!$K$142,'Working Copy 050522'!$L$142,'Working Copy 050522'!$M$142,'Working Copy 050522'!$N$142</definedName>
    <definedName name="QB_FORMULA_22" localSheetId="6" hidden="1">'Working Copy 061422'!$M$165,'Working Copy 061422'!$N$165,'Working Copy 061422'!$O$165,'Working Copy 061422'!$T$165,'Working Copy 061422'!$U$165,'Working Copy 061422'!$U$169,'Working Copy 061422'!$Q$170,'Working Copy 061422'!$R$170,'Working Copy 061422'!$S$170,'Working Copy 061422'!$H$170,'Working Copy 061422'!$I$170,'Working Copy 061422'!$J$170,'Working Copy 061422'!$K$170,'Working Copy 061422'!$L$170,'Working Copy 061422'!$M$170,'Working Copy 061422'!$N$170</definedName>
    <definedName name="QB_FORMULA_22" localSheetId="3" hidden="1">'Working Copy 071222'!$M$165,'Working Copy 071222'!$N$165,'Working Copy 071222'!$O$165,'Working Copy 071222'!$T$165,'Working Copy 071222'!$U$165,'Working Copy 071222'!$U$169,'Working Copy 071222'!$Q$170,'Working Copy 071222'!$R$170,'Working Copy 071222'!$S$170,'Working Copy 071222'!$H$170,'Working Copy 071222'!$I$170,'Working Copy 071222'!$J$170,'Working Copy 071222'!$K$170,'Working Copy 071222'!$L$170,'Working Copy 071222'!$M$170,'Working Copy 071222'!$N$170</definedName>
    <definedName name="QB_FORMULA_23" localSheetId="10" hidden="1">'060421 For Trustees Prior Year '!$J$170,'060421 For Trustees Prior Year '!$K$170,'060421 For Trustees Prior Year '!$L$170,'060421 For Trustees Prior Year '!$M$170,'060421 For Trustees Prior Year '!$N$170,'060421 For Trustees Prior Year '!$O$170,'060421 For Trustees Prior Year '!$P$170,'060421 For Trustees Prior Year '!$Q$170,'060421 For Trustees Prior Year '!$R$170,'060421 For Trustees Prior Year '!$W$170,'060421 For Trustees Prior Year '!$X$170,'060421 For Trustees Prior Year '!$G$171,'060421 For Trustees Prior Year '!$H$171,'060421 For Trustees Prior Year '!$I$171,'060421 For Trustees Prior Year '!$J$171,'060421 For Trustees Prior Year '!$K$171</definedName>
    <definedName name="QB_FORMULA_23" localSheetId="9" hidden="1">'Ad Downloaded 042822'!$R$132,'Ad Downloaded 042822'!$S$132,'Ad Downloaded 042822'!$T$132,'Ad Downloaded 042822'!$H$133,'Ad Downloaded 042822'!$I$133,'Ad Downloaded 042822'!$J$133,'Ad Downloaded 042822'!$K$133,'Ad Downloaded 042822'!$L$133,'Ad Downloaded 042822'!$M$133,'Ad Downloaded 042822'!$N$133,'Ad Downloaded 042822'!$O$133,'Ad Downloaded 042822'!$P$133,'Ad Downloaded 042822'!$Q$133,'Ad Downloaded 042822'!$R$133,'Ad Downloaded 042822'!$S$133,'Ad Downloaded 042822'!$T$133</definedName>
    <definedName name="QB_FORMULA_23" localSheetId="1" hidden="1">'App Bud for Input'!$O$170,'App Bud for Input'!$T$170,'App Bud for Input'!$U$170,'App Bud for Input'!$Q$171,'App Bud for Input'!$R$171,'App Bud for Input'!$S$171,'App Bud for Input'!$H$171,'App Bud for Input'!$I$171,'App Bud for Input'!$J$171,'App Bud for Input'!$K$171,'App Bud for Input'!$L$171,'App Bud for Input'!$M$171,'App Bud for Input'!$N$171,'App Bud for Input'!$O$171,'App Bud for Input'!$T$171,'App Bud for Input'!$U$171</definedName>
    <definedName name="QB_FORMULA_23" localSheetId="0" hidden="1">'Approved Budget'!$O$170,'Approved Budget'!$T$170,'Approved Budget'!$U$170,'Approved Budget'!$Q$171,'Approved Budget'!$R$171,'Approved Budget'!$S$171,'Approved Budget'!$H$171,'Approved Budget'!$I$171,'Approved Budget'!$J$171,'Approved Budget'!$K$171,'Approved Budget'!$L$171,'Approved Budget'!$M$171,'Approved Budget'!$N$171,'Approved Budget'!$O$171,'Approved Budget'!$T$171,'Approved Budget'!$U$171</definedName>
    <definedName name="QB_FORMULA_23" localSheetId="5" hidden="1">'For Trustee 061422'!$O$170,'For Trustee 061422'!$T$170,'For Trustee 061422'!$U$170,'For Trustee 061422'!$Q$171,'For Trustee 061422'!$R$171,'For Trustee 061422'!$S$171,'For Trustee 061422'!$H$171,'For Trustee 061422'!$I$171,'For Trustee 061422'!$J$171,'For Trustee 061422'!$K$171,'For Trustee 061422'!$L$171,'For Trustee 061422'!$M$171,'For Trustee 061422'!$N$171,'For Trustee 061422'!$O$171,'For Trustee 061422'!$T$171,'For Trustee 061422'!$U$171</definedName>
    <definedName name="QB_FORMULA_23" localSheetId="7" hidden="1">'For Trustees 050522'!$O$170,'For Trustees 050522'!$T$170,'For Trustees 050522'!$U$170,'For Trustees 050522'!$Q$171,'For Trustees 050522'!$R$171,'For Trustees 050522'!$S$171,'For Trustees 050522'!$H$171,'For Trustees 050522'!$I$171,'For Trustees 050522'!$J$171,'For Trustees 050522'!$K$171,'For Trustees 050522'!$L$171,'For Trustees 050522'!$M$171,'For Trustees 050522'!$N$171,'For Trustees 050522'!$O$171,'For Trustees 050522'!$T$171,'For Trustees 050522'!$U$171</definedName>
    <definedName name="QB_FORMULA_23" localSheetId="2" hidden="1">'For Trustees 071222 '!$O$170,'For Trustees 071222 '!$T$170,'For Trustees 071222 '!$U$170,'For Trustees 071222 '!$Q$171,'For Trustees 071222 '!$R$171,'For Trustees 071222 '!$S$171,'For Trustees 071222 '!$H$171,'For Trustees 071222 '!$I$171,'For Trustees 071222 '!$J$171,'For Trustees 071222 '!$K$171,'For Trustees 071222 '!$L$171,'For Trustees 071222 '!$M$171,'For Trustees 071222 '!$N$171,'For Trustees 071222 '!$O$171,'For Trustees 071222 '!$T$171,'For Trustees 071222 '!$U$171</definedName>
    <definedName name="QB_FORMULA_23" localSheetId="8" hidden="1">'Working Copy 050522'!$O$142,'Working Copy 050522'!$T$142,'Working Copy 050522'!$U$142,'Working Copy 050522'!$Q$143,'Working Copy 050522'!$R$143,'Working Copy 050522'!$S$143,'Working Copy 050522'!$H$143,'Working Copy 050522'!$I$143,'Working Copy 050522'!$J$143,'Working Copy 050522'!$K$143,'Working Copy 050522'!$L$143,'Working Copy 050522'!$M$143,'Working Copy 050522'!$N$143,'Working Copy 050522'!$O$143,'Working Copy 050522'!$T$143,'Working Copy 050522'!$U$143</definedName>
    <definedName name="QB_FORMULA_23" localSheetId="6" hidden="1">'Working Copy 061422'!$O$170,'Working Copy 061422'!$T$170,'Working Copy 061422'!$U$170,'Working Copy 061422'!$Q$171,'Working Copy 061422'!$R$171,'Working Copy 061422'!$S$171,'Working Copy 061422'!$H$171,'Working Copy 061422'!$I$171,'Working Copy 061422'!$J$171,'Working Copy 061422'!$K$171,'Working Copy 061422'!$L$171,'Working Copy 061422'!$M$171,'Working Copy 061422'!$N$171,'Working Copy 061422'!$O$171,'Working Copy 061422'!$T$171,'Working Copy 061422'!$U$171</definedName>
    <definedName name="QB_FORMULA_23" localSheetId="3" hidden="1">'Working Copy 071222'!$O$170,'Working Copy 071222'!$T$170,'Working Copy 071222'!$U$170,'Working Copy 071222'!$Q$171,'Working Copy 071222'!$R$171,'Working Copy 071222'!$S$171,'Working Copy 071222'!$H$171,'Working Copy 071222'!$I$171,'Working Copy 071222'!$J$171,'Working Copy 071222'!$K$171,'Working Copy 071222'!$L$171,'Working Copy 071222'!$M$171,'Working Copy 071222'!$N$171,'Working Copy 071222'!$O$171,'Working Copy 071222'!$T$171,'Working Copy 071222'!$U$171</definedName>
    <definedName name="QB_FORMULA_24" localSheetId="10" hidden="1">'060421 For Trustees Prior Year '!$L$171,'060421 For Trustees Prior Year '!$M$171,'060421 For Trustees Prior Year '!$N$171,'060421 For Trustees Prior Year '!$O$171,'060421 For Trustees Prior Year '!$P$171,'060421 For Trustees Prior Year '!$Q$171,'060421 For Trustees Prior Year '!$R$171,'060421 For Trustees Prior Year '!$W$171,'060421 For Trustees Prior Year '!$X$171,'060421 For Trustees Prior Year '!$G$178,'060421 For Trustees Prior Year '!$H$178,'060421 For Trustees Prior Year '!$I$178,'060421 For Trustees Prior Year '!$J$178,'060421 For Trustees Prior Year '!$K$178,'060421 For Trustees Prior Year '!$L$178,'060421 For Trustees Prior Year '!$M$178</definedName>
    <definedName name="QB_FORMULA_24" localSheetId="9" hidden="1">'Ad Downloaded 042822'!$H$134,'Ad Downloaded 042822'!$I$134,'Ad Downloaded 042822'!$J$134,'Ad Downloaded 042822'!$K$134,'Ad Downloaded 042822'!$L$134,'Ad Downloaded 042822'!$M$134,'Ad Downloaded 042822'!$N$134,'Ad Downloaded 042822'!$O$134,'Ad Downloaded 042822'!$P$134,'Ad Downloaded 042822'!$Q$134,'Ad Downloaded 042822'!$R$134,'Ad Downloaded 042822'!$S$134,'Ad Downloaded 042822'!$T$134,'Ad Downloaded 042822'!$H$135,'Ad Downloaded 042822'!$I$135,'Ad Downloaded 042822'!$J$135</definedName>
    <definedName name="QB_FORMULA_24" localSheetId="1" hidden="1">'App Bud for Input'!$Q$175,'App Bud for Input'!$R$175,'App Bud for Input'!$S$175,'App Bud for Input'!$H$175,'App Bud for Input'!$I$175,'App Bud for Input'!$J$175,'App Bud for Input'!$K$175,'App Bud for Input'!$L$175,'App Bud for Input'!$M$175,'App Bud for Input'!$N$175,'App Bud for Input'!$O$175,'App Bud for Input'!$T$175,'App Bud for Input'!$U$175,'App Bud for Input'!$Q$176,'App Bud for Input'!$R$176,'App Bud for Input'!$S$176</definedName>
    <definedName name="QB_FORMULA_24" localSheetId="0" hidden="1">'Approved Budget'!$Q$175,'Approved Budget'!$R$175,'Approved Budget'!$S$175,'Approved Budget'!$H$175,'Approved Budget'!$I$175,'Approved Budget'!$J$175,'Approved Budget'!$K$175,'Approved Budget'!$L$175,'Approved Budget'!$M$175,'Approved Budget'!$N$175,'Approved Budget'!$O$175,'Approved Budget'!$T$175,'Approved Budget'!$U$175,'Approved Budget'!$Q$176,'Approved Budget'!$R$176,'Approved Budget'!$S$176</definedName>
    <definedName name="QB_FORMULA_24" localSheetId="5" hidden="1">'For Trustee 061422'!$Q$175,'For Trustee 061422'!$R$175,'For Trustee 061422'!$S$175,'For Trustee 061422'!$H$175,'For Trustee 061422'!$I$175,'For Trustee 061422'!$J$175,'For Trustee 061422'!$K$175,'For Trustee 061422'!$L$175,'For Trustee 061422'!$M$175,'For Trustee 061422'!$N$175,'For Trustee 061422'!$O$175,'For Trustee 061422'!$T$175,'For Trustee 061422'!$U$175,'For Trustee 061422'!$Q$176,'For Trustee 061422'!$R$176,'For Trustee 061422'!$S$176</definedName>
    <definedName name="QB_FORMULA_24" localSheetId="7" hidden="1">'For Trustees 050522'!$Q$175,'For Trustees 050522'!$R$175,'For Trustees 050522'!$S$175,'For Trustees 050522'!$H$175,'For Trustees 050522'!$I$175,'For Trustees 050522'!$J$175,'For Trustees 050522'!$K$175,'For Trustees 050522'!$L$175,'For Trustees 050522'!$M$175,'For Trustees 050522'!$N$175,'For Trustees 050522'!$O$175,'For Trustees 050522'!$T$175,'For Trustees 050522'!$U$175,'For Trustees 050522'!$Q$176,'For Trustees 050522'!$R$176,'For Trustees 050522'!$S$176</definedName>
    <definedName name="QB_FORMULA_24" localSheetId="2" hidden="1">'For Trustees 071222 '!$Q$175,'For Trustees 071222 '!$R$175,'For Trustees 071222 '!$S$175,'For Trustees 071222 '!$H$175,'For Trustees 071222 '!$I$175,'For Trustees 071222 '!$J$175,'For Trustees 071222 '!$K$175,'For Trustees 071222 '!$L$175,'For Trustees 071222 '!$M$175,'For Trustees 071222 '!$N$175,'For Trustees 071222 '!$O$175,'For Trustees 071222 '!$T$175,'For Trustees 071222 '!$U$175,'For Trustees 071222 '!$Q$176,'For Trustees 071222 '!$R$176,'For Trustees 071222 '!$S$176</definedName>
    <definedName name="QB_FORMULA_24" localSheetId="8" hidden="1">'Working Copy 050522'!$Q$147,'Working Copy 050522'!$R$147,'Working Copy 050522'!$S$147,'Working Copy 050522'!$H$147,'Working Copy 050522'!$I$147,'Working Copy 050522'!$J$147,'Working Copy 050522'!$K$147,'Working Copy 050522'!$L$147,'Working Copy 050522'!$M$147,'Working Copy 050522'!$N$147,'Working Copy 050522'!$O$147,'Working Copy 050522'!$T$147,'Working Copy 050522'!$U$147,'Working Copy 050522'!$Q$148,'Working Copy 050522'!$R$148,'Working Copy 050522'!$S$148</definedName>
    <definedName name="QB_FORMULA_24" localSheetId="6" hidden="1">'Working Copy 061422'!$Q$175,'Working Copy 061422'!$R$175,'Working Copy 061422'!$S$175,'Working Copy 061422'!$H$175,'Working Copy 061422'!$I$175,'Working Copy 061422'!$J$175,'Working Copy 061422'!$K$175,'Working Copy 061422'!$L$175,'Working Copy 061422'!$M$175,'Working Copy 061422'!$N$175,'Working Copy 061422'!$O$175,'Working Copy 061422'!$T$175,'Working Copy 061422'!$U$175,'Working Copy 061422'!$Q$176,'Working Copy 061422'!$R$176,'Working Copy 061422'!$S$176</definedName>
    <definedName name="QB_FORMULA_24" localSheetId="3" hidden="1">'Working Copy 071222'!$Q$175,'Working Copy 071222'!$R$175,'Working Copy 071222'!$S$175,'Working Copy 071222'!$H$175,'Working Copy 071222'!$I$175,'Working Copy 071222'!$J$175,'Working Copy 071222'!$K$175,'Working Copy 071222'!$L$175,'Working Copy 071222'!$M$175,'Working Copy 071222'!$N$175,'Working Copy 071222'!$O$175,'Working Copy 071222'!$T$175,'Working Copy 071222'!$U$175,'Working Copy 071222'!$Q$176,'Working Copy 071222'!$R$176,'Working Copy 071222'!$S$176</definedName>
    <definedName name="QB_FORMULA_25" localSheetId="10" hidden="1">'060421 For Trustees Prior Year '!$N$178,'060421 For Trustees Prior Year '!$O$178,'060421 For Trustees Prior Year '!$P$178,'060421 For Trustees Prior Year '!$Q$178,'060421 For Trustees Prior Year '!$R$178,'060421 For Trustees Prior Year '!$W$178,'060421 For Trustees Prior Year '!$X$178,'060421 For Trustees Prior Year '!$G$179,'060421 For Trustees Prior Year '!$H$179,'060421 For Trustees Prior Year '!$I$179,'060421 For Trustees Prior Year '!$J$179,'060421 For Trustees Prior Year '!$K$179,'060421 For Trustees Prior Year '!$L$179,'060421 For Trustees Prior Year '!$M$179,'060421 For Trustees Prior Year '!$N$179,'060421 For Trustees Prior Year '!$O$179</definedName>
    <definedName name="QB_FORMULA_25" localSheetId="9" hidden="1">'Ad Downloaded 042822'!$K$135,'Ad Downloaded 042822'!$L$135,'Ad Downloaded 042822'!$M$135,'Ad Downloaded 042822'!$N$135,'Ad Downloaded 042822'!$O$135,'Ad Downloaded 042822'!$P$135,'Ad Downloaded 042822'!$Q$135,'Ad Downloaded 042822'!$R$135,'Ad Downloaded 042822'!$S$135,'Ad Downloaded 042822'!$T$135,'Ad Downloaded 042822'!$T$138,'Ad Downloaded 042822'!$T$139,'Ad Downloaded 042822'!$T$140,'Ad Downloaded 042822'!$H$141,'Ad Downloaded 042822'!$I$141,'Ad Downloaded 042822'!$J$141</definedName>
    <definedName name="QB_FORMULA_25" localSheetId="1" hidden="1">'App Bud for Input'!$H$176,'App Bud for Input'!$I$176,'App Bud for Input'!$J$176,'App Bud for Input'!$K$176,'App Bud for Input'!$L$176,'App Bud for Input'!$M$176,'App Bud for Input'!$N$176,'App Bud for Input'!$O$176,'App Bud for Input'!$T$176,'App Bud for Input'!$U$176,'App Bud for Input'!$U$179,'App Bud for Input'!$U$180,'App Bud for Input'!$U$181,'App Bud for Input'!$Q$182,'App Bud for Input'!$R$182,'App Bud for Input'!$S$182</definedName>
    <definedName name="QB_FORMULA_25" localSheetId="0" hidden="1">'Approved Budget'!$H$176,'Approved Budget'!$I$176,'Approved Budget'!$J$176,'Approved Budget'!$K$176,'Approved Budget'!$L$176,'Approved Budget'!$M$176,'Approved Budget'!$N$176,'Approved Budget'!$O$176,'Approved Budget'!$T$176,'Approved Budget'!$U$176,'Approved Budget'!$U$179,'Approved Budget'!$U$180,'Approved Budget'!$U$181,'Approved Budget'!$Q$182,'Approved Budget'!$R$182,'Approved Budget'!$S$182</definedName>
    <definedName name="QB_FORMULA_25" localSheetId="5" hidden="1">'For Trustee 061422'!$H$176,'For Trustee 061422'!$I$176,'For Trustee 061422'!$J$176,'For Trustee 061422'!$K$176,'For Trustee 061422'!$L$176,'For Trustee 061422'!$M$176,'For Trustee 061422'!$N$176,'For Trustee 061422'!$O$176,'For Trustee 061422'!$T$176,'For Trustee 061422'!$U$176,'For Trustee 061422'!$U$179,'For Trustee 061422'!$U$180,'For Trustee 061422'!$U$181,'For Trustee 061422'!$Q$182,'For Trustee 061422'!$R$182,'For Trustee 061422'!$S$182</definedName>
    <definedName name="QB_FORMULA_25" localSheetId="7" hidden="1">'For Trustees 050522'!$H$176,'For Trustees 050522'!$I$176,'For Trustees 050522'!$J$176,'For Trustees 050522'!$K$176,'For Trustees 050522'!$L$176,'For Trustees 050522'!$M$176,'For Trustees 050522'!$N$176,'For Trustees 050522'!$O$176,'For Trustees 050522'!$T$176,'For Trustees 050522'!$U$176,'For Trustees 050522'!$U$179,'For Trustees 050522'!$U$180,'For Trustees 050522'!$U$181,'For Trustees 050522'!$Q$182,'For Trustees 050522'!$R$182,'For Trustees 050522'!$S$182</definedName>
    <definedName name="QB_FORMULA_25" localSheetId="2" hidden="1">'For Trustees 071222 '!$H$176,'For Trustees 071222 '!$I$176,'For Trustees 071222 '!$J$176,'For Trustees 071222 '!$K$176,'For Trustees 071222 '!$L$176,'For Trustees 071222 '!$M$176,'For Trustees 071222 '!$N$176,'For Trustees 071222 '!$O$176,'For Trustees 071222 '!$T$176,'For Trustees 071222 '!$U$176,'For Trustees 071222 '!$U$179,'For Trustees 071222 '!$U$180,'For Trustees 071222 '!$U$181,'For Trustees 071222 '!$Q$182,'For Trustees 071222 '!$R$182,'For Trustees 071222 '!$S$182</definedName>
    <definedName name="QB_FORMULA_25" localSheetId="8" hidden="1">'Working Copy 050522'!$H$148,'Working Copy 050522'!$I$148,'Working Copy 050522'!$J$148,'Working Copy 050522'!$K$148,'Working Copy 050522'!$L$148,'Working Copy 050522'!$M$148,'Working Copy 050522'!$N$148,'Working Copy 050522'!$O$148,'Working Copy 050522'!$T$148,'Working Copy 050522'!$U$148,'Working Copy 050522'!$U$151,'Working Copy 050522'!$U$152,'Working Copy 050522'!$U$153,'Working Copy 050522'!$Q$154,'Working Copy 050522'!$R$154,'Working Copy 050522'!$S$154</definedName>
    <definedName name="QB_FORMULA_25" localSheetId="6" hidden="1">'Working Copy 061422'!$H$176,'Working Copy 061422'!$I$176,'Working Copy 061422'!$J$176,'Working Copy 061422'!$K$176,'Working Copy 061422'!$L$176,'Working Copy 061422'!$M$176,'Working Copy 061422'!$N$176,'Working Copy 061422'!$O$176,'Working Copy 061422'!$T$176,'Working Copy 061422'!$U$176,'Working Copy 061422'!$U$179,'Working Copy 061422'!$U$180,'Working Copy 061422'!$U$181,'Working Copy 061422'!$Q$182,'Working Copy 061422'!$R$182,'Working Copy 061422'!$S$182</definedName>
    <definedName name="QB_FORMULA_25" localSheetId="3" hidden="1">'Working Copy 071222'!$H$176,'Working Copy 071222'!$I$176,'Working Copy 071222'!$J$176,'Working Copy 071222'!$K$176,'Working Copy 071222'!$L$176,'Working Copy 071222'!$M$176,'Working Copy 071222'!$N$176,'Working Copy 071222'!$O$176,'Working Copy 071222'!$T$176,'Working Copy 071222'!$U$176,'Working Copy 071222'!$U$179,'Working Copy 071222'!$U$180,'Working Copy 071222'!$U$181,'Working Copy 071222'!$Q$182,'Working Copy 071222'!$R$182,'Working Copy 071222'!$S$182</definedName>
    <definedName name="QB_FORMULA_26" localSheetId="10" hidden="1">'060421 For Trustees Prior Year '!$P$179,'060421 For Trustees Prior Year '!$Q$179,'060421 For Trustees Prior Year '!$R$179,'060421 For Trustees Prior Year '!$W$179,'060421 For Trustees Prior Year '!$X$179,'060421 For Trustees Prior Year '!$X$182,'060421 For Trustees Prior Year '!$X$183,'060421 For Trustees Prior Year '!$G$184,'060421 For Trustees Prior Year '!$H$184,'060421 For Trustees Prior Year '!$I$184,'060421 For Trustees Prior Year '!$J$184,'060421 For Trustees Prior Year '!$K$184,'060421 For Trustees Prior Year '!$L$184,'060421 For Trustees Prior Year '!$M$184,'060421 For Trustees Prior Year '!$N$184,'060421 For Trustees Prior Year '!$O$184</definedName>
    <definedName name="QB_FORMULA_26" localSheetId="9" hidden="1">'Ad Downloaded 042822'!$K$141,'Ad Downloaded 042822'!$L$141,'Ad Downloaded 042822'!$M$141,'Ad Downloaded 042822'!$N$141,'Ad Downloaded 042822'!$O$141,'Ad Downloaded 042822'!$P$141,'Ad Downloaded 042822'!$Q$141,'Ad Downloaded 042822'!$R$141,'Ad Downloaded 042822'!$S$141,'Ad Downloaded 042822'!$T$141,'Ad Downloaded 042822'!$H$142,'Ad Downloaded 042822'!$I$142,'Ad Downloaded 042822'!$J$142,'Ad Downloaded 042822'!$K$142,'Ad Downloaded 042822'!$L$142,'Ad Downloaded 042822'!$M$142</definedName>
    <definedName name="QB_FORMULA_26" localSheetId="1" hidden="1">'App Bud for Input'!$H$182,'App Bud for Input'!$I$182,'App Bud for Input'!$J$182,'App Bud for Input'!$K$182,'App Bud for Input'!$L$182,'App Bud for Input'!$M$182,'App Bud for Input'!$N$182,'App Bud for Input'!$O$182,'App Bud for Input'!$T$182,'App Bud for Input'!$U$182,'App Bud for Input'!$Q$183,'App Bud for Input'!$R$183,'App Bud for Input'!$S$183,'App Bud for Input'!$H$183,'App Bud for Input'!$I$183,'App Bud for Input'!$J$183</definedName>
    <definedName name="QB_FORMULA_26" localSheetId="0" hidden="1">'Approved Budget'!$H$182,'Approved Budget'!$I$182,'Approved Budget'!$J$182,'Approved Budget'!$K$182,'Approved Budget'!$L$182,'Approved Budget'!$M$182,'Approved Budget'!$N$182,'Approved Budget'!$O$182,'Approved Budget'!$T$182,'Approved Budget'!$U$182,'Approved Budget'!$Q$183,'Approved Budget'!$R$183,'Approved Budget'!$S$183,'Approved Budget'!$H$183,'Approved Budget'!$I$183,'Approved Budget'!$J$183</definedName>
    <definedName name="QB_FORMULA_26" localSheetId="5" hidden="1">'For Trustee 061422'!$H$182,'For Trustee 061422'!$I$182,'For Trustee 061422'!$J$182,'For Trustee 061422'!$K$182,'For Trustee 061422'!$L$182,'For Trustee 061422'!$M$182,'For Trustee 061422'!$N$182,'For Trustee 061422'!$O$182,'For Trustee 061422'!$T$182,'For Trustee 061422'!$U$182,'For Trustee 061422'!$Q$183,'For Trustee 061422'!$R$183,'For Trustee 061422'!$S$183,'For Trustee 061422'!$H$183,'For Trustee 061422'!$I$183,'For Trustee 061422'!$J$183</definedName>
    <definedName name="QB_FORMULA_26" localSheetId="7" hidden="1">'For Trustees 050522'!$H$182,'For Trustees 050522'!$I$182,'For Trustees 050522'!$J$182,'For Trustees 050522'!$K$182,'For Trustees 050522'!$L$182,'For Trustees 050522'!$M$182,'For Trustees 050522'!$N$182,'For Trustees 050522'!$O$182,'For Trustees 050522'!$T$182,'For Trustees 050522'!$U$182,'For Trustees 050522'!$Q$183,'For Trustees 050522'!$R$183,'For Trustees 050522'!$S$183,'For Trustees 050522'!$H$183,'For Trustees 050522'!$I$183,'For Trustees 050522'!$J$183</definedName>
    <definedName name="QB_FORMULA_26" localSheetId="2" hidden="1">'For Trustees 071222 '!$H$182,'For Trustees 071222 '!$I$182,'For Trustees 071222 '!$J$182,'For Trustees 071222 '!$K$182,'For Trustees 071222 '!$L$182,'For Trustees 071222 '!$M$182,'For Trustees 071222 '!$N$182,'For Trustees 071222 '!$O$182,'For Trustees 071222 '!$T$182,'For Trustees 071222 '!$U$182,'For Trustees 071222 '!$Q$183,'For Trustees 071222 '!$R$183,'For Trustees 071222 '!$S$183,'For Trustees 071222 '!$H$183,'For Trustees 071222 '!$I$183,'For Trustees 071222 '!$J$183</definedName>
    <definedName name="QB_FORMULA_26" localSheetId="8" hidden="1">'Working Copy 050522'!$H$154,'Working Copy 050522'!$I$154,'Working Copy 050522'!$J$154,'Working Copy 050522'!$K$154,'Working Copy 050522'!$L$154,'Working Copy 050522'!$M$154,'Working Copy 050522'!$N$154,'Working Copy 050522'!$O$154,'Working Copy 050522'!$T$154,'Working Copy 050522'!$U$154,'Working Copy 050522'!$Q$155,'Working Copy 050522'!$R$155,'Working Copy 050522'!$S$155,'Working Copy 050522'!$H$155,'Working Copy 050522'!$I$155,'Working Copy 050522'!$J$155</definedName>
    <definedName name="QB_FORMULA_26" localSheetId="6" hidden="1">'Working Copy 061422'!$H$182,'Working Copy 061422'!$I$182,'Working Copy 061422'!$J$182,'Working Copy 061422'!$K$182,'Working Copy 061422'!$L$182,'Working Copy 061422'!$M$182,'Working Copy 061422'!$N$182,'Working Copy 061422'!$O$182,'Working Copy 061422'!$T$182,'Working Copy 061422'!$U$182,'Working Copy 061422'!$Q$183,'Working Copy 061422'!$R$183,'Working Copy 061422'!$S$183,'Working Copy 061422'!$H$183,'Working Copy 061422'!$I$183,'Working Copy 061422'!$J$183</definedName>
    <definedName name="QB_FORMULA_26" localSheetId="3" hidden="1">'Working Copy 071222'!$H$182,'Working Copy 071222'!$I$182,'Working Copy 071222'!$J$182,'Working Copy 071222'!$K$182,'Working Copy 071222'!$L$182,'Working Copy 071222'!$M$182,'Working Copy 071222'!$N$182,'Working Copy 071222'!$O$182,'Working Copy 071222'!$T$182,'Working Copy 071222'!$U$182,'Working Copy 071222'!$Q$183,'Working Copy 071222'!$R$183,'Working Copy 071222'!$S$183,'Working Copy 071222'!$H$183,'Working Copy 071222'!$I$183,'Working Copy 071222'!$J$183</definedName>
    <definedName name="QB_FORMULA_27" localSheetId="10" hidden="1">'060421 For Trustees Prior Year '!$P$184,'060421 For Trustees Prior Year '!$Q$184,'060421 For Trustees Prior Year '!$R$184,'060421 For Trustees Prior Year '!$W$184,'060421 For Trustees Prior Year '!$X$184,'060421 For Trustees Prior Year '!$G$185,'060421 For Trustees Prior Year '!$H$185,'060421 For Trustees Prior Year '!$I$185,'060421 For Trustees Prior Year '!$J$185,'060421 For Trustees Prior Year '!$K$185,'060421 For Trustees Prior Year '!$L$185,'060421 For Trustees Prior Year '!$M$185,'060421 For Trustees Prior Year '!$N$185,'060421 For Trustees Prior Year '!$O$185,'060421 For Trustees Prior Year '!$P$185,'060421 For Trustees Prior Year '!$Q$185</definedName>
    <definedName name="QB_FORMULA_27" localSheetId="9" hidden="1">'Ad Downloaded 042822'!$N$142,'Ad Downloaded 042822'!$O$142,'Ad Downloaded 042822'!$P$142,'Ad Downloaded 042822'!$Q$142,'Ad Downloaded 042822'!$R$142,'Ad Downloaded 042822'!$S$142,'Ad Downloaded 042822'!$T$142,'Ad Downloaded 042822'!$H$143,'Ad Downloaded 042822'!$I$143,'Ad Downloaded 042822'!$J$143,'Ad Downloaded 042822'!$K$143,'Ad Downloaded 042822'!$L$143,'Ad Downloaded 042822'!$M$143,'Ad Downloaded 042822'!$N$143,'Ad Downloaded 042822'!$O$143,'Ad Downloaded 042822'!$P$143</definedName>
    <definedName name="QB_FORMULA_27" localSheetId="1" hidden="1">'App Bud for Input'!$K$183,'App Bud for Input'!$L$183,'App Bud for Input'!$M$183,'App Bud for Input'!$N$183,'App Bud for Input'!$O$183,'App Bud for Input'!$T$183,'App Bud for Input'!$U$183,'App Bud for Input'!$Q$184,'App Bud for Input'!$R$184,'App Bud for Input'!$S$184,'App Bud for Input'!$H$184,'App Bud for Input'!$I$184,'App Bud for Input'!$J$184,'App Bud for Input'!$K$184,'App Bud for Input'!$L$184,'App Bud for Input'!$M$184</definedName>
    <definedName name="QB_FORMULA_27" localSheetId="0" hidden="1">'Approved Budget'!$K$183,'Approved Budget'!$L$183,'Approved Budget'!$M$183,'Approved Budget'!$N$183,'Approved Budget'!$O$183,'Approved Budget'!$T$183,'Approved Budget'!$U$183,'Approved Budget'!$Q$184,'Approved Budget'!$R$184,'Approved Budget'!$S$184,'Approved Budget'!$H$184,'Approved Budget'!$I$184,'Approved Budget'!$J$184,'Approved Budget'!$K$184,'Approved Budget'!$L$184,'Approved Budget'!$M$184</definedName>
    <definedName name="QB_FORMULA_27" localSheetId="5" hidden="1">'For Trustee 061422'!$K$183,'For Trustee 061422'!$L$183,'For Trustee 061422'!$M$183,'For Trustee 061422'!$N$183,'For Trustee 061422'!$O$183,'For Trustee 061422'!$T$183,'For Trustee 061422'!$U$183,'For Trustee 061422'!$Q$184,'For Trustee 061422'!$R$184,'For Trustee 061422'!$S$184,'For Trustee 061422'!$H$184,'For Trustee 061422'!$I$184,'For Trustee 061422'!$J$184,'For Trustee 061422'!$K$184,'For Trustee 061422'!$L$184,'For Trustee 061422'!$M$184</definedName>
    <definedName name="QB_FORMULA_27" localSheetId="7" hidden="1">'For Trustees 050522'!$K$183,'For Trustees 050522'!$L$183,'For Trustees 050522'!$M$183,'For Trustees 050522'!$N$183,'For Trustees 050522'!$O$183,'For Trustees 050522'!$T$183,'For Trustees 050522'!$U$183,'For Trustees 050522'!$Q$184,'For Trustees 050522'!$R$184,'For Trustees 050522'!$S$184,'For Trustees 050522'!$H$184,'For Trustees 050522'!$I$184,'For Trustees 050522'!$J$184,'For Trustees 050522'!$K$184,'For Trustees 050522'!$L$184,'For Trustees 050522'!$M$184</definedName>
    <definedName name="QB_FORMULA_27" localSheetId="2" hidden="1">'For Trustees 071222 '!$K$183,'For Trustees 071222 '!$L$183,'For Trustees 071222 '!$M$183,'For Trustees 071222 '!$N$183,'For Trustees 071222 '!$O$183,'For Trustees 071222 '!$T$183,'For Trustees 071222 '!$U$183,'For Trustees 071222 '!$Q$184,'For Trustees 071222 '!$R$184,'For Trustees 071222 '!$S$184,'For Trustees 071222 '!$H$184,'For Trustees 071222 '!$I$184,'For Trustees 071222 '!$J$184,'For Trustees 071222 '!$K$184,'For Trustees 071222 '!$L$184,'For Trustees 071222 '!$M$184</definedName>
    <definedName name="QB_FORMULA_27" localSheetId="8" hidden="1">'Working Copy 050522'!$K$155,'Working Copy 050522'!$L$155,'Working Copy 050522'!$M$155,'Working Copy 050522'!$N$155,'Working Copy 050522'!$O$155,'Working Copy 050522'!$T$155,'Working Copy 050522'!$U$155,'Working Copy 050522'!$Q$156,'Working Copy 050522'!$R$156,'Working Copy 050522'!$S$156,'Working Copy 050522'!$H$156,'Working Copy 050522'!$I$156,'Working Copy 050522'!$J$156,'Working Copy 050522'!$K$156,'Working Copy 050522'!$L$156,'Working Copy 050522'!$M$156</definedName>
    <definedName name="QB_FORMULA_27" localSheetId="6" hidden="1">'Working Copy 061422'!$K$183,'Working Copy 061422'!$L$183,'Working Copy 061422'!$M$183,'Working Copy 061422'!$N$183,'Working Copy 061422'!$O$183,'Working Copy 061422'!$T$183,'Working Copy 061422'!$U$183,'Working Copy 061422'!$Q$184,'Working Copy 061422'!$R$184,'Working Copy 061422'!$S$184,'Working Copy 061422'!$H$184,'Working Copy 061422'!$I$184,'Working Copy 061422'!$J$184,'Working Copy 061422'!$K$184,'Working Copy 061422'!$L$184,'Working Copy 061422'!$M$184</definedName>
    <definedName name="QB_FORMULA_27" localSheetId="3" hidden="1">'Working Copy 071222'!$K$183,'Working Copy 071222'!$L$183,'Working Copy 071222'!$M$183,'Working Copy 071222'!$N$183,'Working Copy 071222'!$O$183,'Working Copy 071222'!$T$183,'Working Copy 071222'!$U$183,'Working Copy 071222'!$Q$184,'Working Copy 071222'!$R$184,'Working Copy 071222'!$S$184,'Working Copy 071222'!$H$184,'Working Copy 071222'!$I$184,'Working Copy 071222'!$J$184,'Working Copy 071222'!$K$184,'Working Copy 071222'!$L$184,'Working Copy 071222'!$M$184</definedName>
    <definedName name="QB_FORMULA_28" localSheetId="10" hidden="1">'060421 For Trustees Prior Year '!$R$185,'060421 For Trustees Prior Year '!$W$185,'060421 For Trustees Prior Year '!$X$185,'060421 For Trustees Prior Year '!$G$186,'060421 For Trustees Prior Year '!$H$186,'060421 For Trustees Prior Year '!$I$186,'060421 For Trustees Prior Year '!$J$186,'060421 For Trustees Prior Year '!$K$186,'060421 For Trustees Prior Year '!$L$186,'060421 For Trustees Prior Year '!$M$186,'060421 For Trustees Prior Year '!$N$186,'060421 For Trustees Prior Year '!$O$186,'060421 For Trustees Prior Year '!$P$186,'060421 For Trustees Prior Year '!$Q$186,'060421 For Trustees Prior Year '!$R$186,'060421 For Trustees Prior Year '!$W$186</definedName>
    <definedName name="QB_FORMULA_28" localSheetId="9" hidden="1">'Ad Downloaded 042822'!$Q$143,'Ad Downloaded 042822'!$R$143,'Ad Downloaded 042822'!$S$143,'Ad Downloaded 042822'!$T$143</definedName>
    <definedName name="QB_FORMULA_28" localSheetId="1" hidden="1">'App Bud for Input'!$N$184,'App Bud for Input'!$O$184,'App Bud for Input'!$T$184,'App Bud for Input'!$U$184</definedName>
    <definedName name="QB_FORMULA_28" localSheetId="0" hidden="1">'Approved Budget'!$N$184,'Approved Budget'!$O$184,'Approved Budget'!$T$184,'Approved Budget'!$U$184</definedName>
    <definedName name="QB_FORMULA_28" localSheetId="5" hidden="1">'For Trustee 061422'!$N$184,'For Trustee 061422'!$O$184,'For Trustee 061422'!$T$184,'For Trustee 061422'!$U$184</definedName>
    <definedName name="QB_FORMULA_28" localSheetId="7" hidden="1">'For Trustees 050522'!$N$184,'For Trustees 050522'!$O$184,'For Trustees 050522'!$T$184,'For Trustees 050522'!$U$184</definedName>
    <definedName name="QB_FORMULA_28" localSheetId="2" hidden="1">'For Trustees 071222 '!$N$184,'For Trustees 071222 '!$O$184,'For Trustees 071222 '!$T$184,'For Trustees 071222 '!$U$184</definedName>
    <definedName name="QB_FORMULA_28" localSheetId="8" hidden="1">'Working Copy 050522'!$N$156,'Working Copy 050522'!$O$156,'Working Copy 050522'!$T$156,'Working Copy 050522'!$U$156</definedName>
    <definedName name="QB_FORMULA_28" localSheetId="6" hidden="1">'Working Copy 061422'!$N$184,'Working Copy 061422'!$O$184,'Working Copy 061422'!$T$184,'Working Copy 061422'!$U$184</definedName>
    <definedName name="QB_FORMULA_28" localSheetId="3" hidden="1">'Working Copy 071222'!$N$184,'Working Copy 071222'!$O$184,'Working Copy 071222'!$T$184,'Working Copy 071222'!$U$184</definedName>
    <definedName name="QB_FORMULA_29" localSheetId="10" hidden="1">'060421 For Trustees Prior Year '!$X$186</definedName>
    <definedName name="QB_FORMULA_3" localSheetId="10" hidden="1">'060421 For Trustees Prior Year '!$X$29,'060421 For Trustees Prior Year '!$X$30,'060421 For Trustees Prior Year '!$X$31,'060421 For Trustees Prior Year '!$X$32,'060421 For Trustees Prior Year '!$G$33,'060421 For Trustees Prior Year '!$H$33,'060421 For Trustees Prior Year '!$I$33,'060421 For Trustees Prior Year '!$J$33,'060421 For Trustees Prior Year '!$K$33,'060421 For Trustees Prior Year '!$L$33,'060421 For Trustees Prior Year '!$M$33,'060421 For Trustees Prior Year '!$N$33,'060421 For Trustees Prior Year '!$O$33,'060421 For Trustees Prior Year '!$P$33,'060421 For Trustees Prior Year '!$Q$33,'060421 For Trustees Prior Year '!$R$33</definedName>
    <definedName name="QB_FORMULA_3" localSheetId="9" hidden="1">'Ad Downloaded 042822'!$T$31,'Ad Downloaded 042822'!$T$32,'Ad Downloaded 042822'!$H$33,'Ad Downloaded 042822'!$I$33,'Ad Downloaded 042822'!$J$33,'Ad Downloaded 042822'!$K$33,'Ad Downloaded 042822'!$L$33,'Ad Downloaded 042822'!$M$33,'Ad Downloaded 042822'!$N$33,'Ad Downloaded 042822'!$O$33,'Ad Downloaded 042822'!$P$33,'Ad Downloaded 042822'!$Q$33,'Ad Downloaded 042822'!$R$33,'Ad Downloaded 042822'!$S$33,'Ad Downloaded 042822'!$T$33,'Ad Downloaded 042822'!$H$34</definedName>
    <definedName name="QB_FORMULA_3" localSheetId="1" hidden="1">'App Bud for Input'!$U$32,'App Bud for Input'!$U$33,'App Bud for Input'!$Q$34,'App Bud for Input'!$R$34,'App Bud for Input'!$S$34,'App Bud for Input'!$H$34,'App Bud for Input'!$I$34,'App Bud for Input'!$J$34,'App Bud for Input'!$K$34,'App Bud for Input'!$L$34,'App Bud for Input'!$M$34,'App Bud for Input'!$N$34,'App Bud for Input'!$O$34,'App Bud for Input'!$T$34,'App Bud for Input'!$U$34,'App Bud for Input'!$Q$35</definedName>
    <definedName name="QB_FORMULA_3" localSheetId="0" hidden="1">'Approved Budget'!$U$32,'Approved Budget'!$U$33,'Approved Budget'!$Q$34,'Approved Budget'!$R$34,'Approved Budget'!$S$34,'Approved Budget'!$H$34,'Approved Budget'!$I$34,'Approved Budget'!$J$34,'Approved Budget'!$K$34,'Approved Budget'!$L$34,'Approved Budget'!$M$34,'Approved Budget'!$N$34,'Approved Budget'!$O$34,'Approved Budget'!$T$34,'Approved Budget'!$U$34,'Approved Budget'!$Q$35</definedName>
    <definedName name="QB_FORMULA_3" localSheetId="5" hidden="1">'For Trustee 061422'!$U$32,'For Trustee 061422'!$U$33,'For Trustee 061422'!$Q$34,'For Trustee 061422'!$R$34,'For Trustee 061422'!$S$34,'For Trustee 061422'!$H$34,'For Trustee 061422'!$I$34,'For Trustee 061422'!$J$34,'For Trustee 061422'!$K$34,'For Trustee 061422'!$L$34,'For Trustee 061422'!$M$34,'For Trustee 061422'!$N$34,'For Trustee 061422'!$O$34,'For Trustee 061422'!$T$34,'For Trustee 061422'!$U$34,'For Trustee 061422'!$Q$35</definedName>
    <definedName name="QB_FORMULA_3" localSheetId="7" hidden="1">'For Trustees 050522'!$U$32,'For Trustees 050522'!$U$33,'For Trustees 050522'!$Q$34,'For Trustees 050522'!$R$34,'For Trustees 050522'!$S$34,'For Trustees 050522'!$H$34,'For Trustees 050522'!$I$34,'For Trustees 050522'!$J$34,'For Trustees 050522'!$K$34,'For Trustees 050522'!$L$34,'For Trustees 050522'!$M$34,'For Trustees 050522'!$N$34,'For Trustees 050522'!$O$34,'For Trustees 050522'!$T$34,'For Trustees 050522'!$U$34,'For Trustees 050522'!$Q$35</definedName>
    <definedName name="QB_FORMULA_3" localSheetId="2" hidden="1">'For Trustees 071222 '!$U$32,'For Trustees 071222 '!$U$33,'For Trustees 071222 '!$Q$34,'For Trustees 071222 '!$R$34,'For Trustees 071222 '!$S$34,'For Trustees 071222 '!$H$34,'For Trustees 071222 '!$I$34,'For Trustees 071222 '!$J$34,'For Trustees 071222 '!$K$34,'For Trustees 071222 '!$L$34,'For Trustees 071222 '!$M$34,'For Trustees 071222 '!$N$34,'For Trustees 071222 '!$O$34,'For Trustees 071222 '!$T$34,'For Trustees 071222 '!$U$34,'For Trustees 071222 '!$Q$35</definedName>
    <definedName name="QB_FORMULA_3" localSheetId="8" hidden="1">'Working Copy 050522'!$U$32,'Working Copy 050522'!$U$33,'Working Copy 050522'!$Q$34,'Working Copy 050522'!$R$34,'Working Copy 050522'!$S$34,'Working Copy 050522'!$H$34,'Working Copy 050522'!$I$34,'Working Copy 050522'!$J$34,'Working Copy 050522'!$K$34,'Working Copy 050522'!$L$34,'Working Copy 050522'!$M$34,'Working Copy 050522'!$N$34,'Working Copy 050522'!$O$34,'Working Copy 050522'!$T$34,'Working Copy 050522'!$U$34,'Working Copy 050522'!$Q$35</definedName>
    <definedName name="QB_FORMULA_3" localSheetId="6" hidden="1">'Working Copy 061422'!$U$32,'Working Copy 061422'!$U$33,'Working Copy 061422'!$Q$34,'Working Copy 061422'!$R$34,'Working Copy 061422'!$S$34,'Working Copy 061422'!$H$34,'Working Copy 061422'!$I$34,'Working Copy 061422'!$J$34,'Working Copy 061422'!$K$34,'Working Copy 061422'!$L$34,'Working Copy 061422'!$M$34,'Working Copy 061422'!$N$34,'Working Copy 061422'!$O$34,'Working Copy 061422'!$T$34,'Working Copy 061422'!$U$34,'Working Copy 061422'!$Q$35</definedName>
    <definedName name="QB_FORMULA_3" localSheetId="3" hidden="1">'Working Copy 071222'!$U$32,'Working Copy 071222'!$U$33,'Working Copy 071222'!$Q$34,'Working Copy 071222'!$R$34,'Working Copy 071222'!$S$34,'Working Copy 071222'!$H$34,'Working Copy 071222'!$I$34,'Working Copy 071222'!$J$34,'Working Copy 071222'!$K$34,'Working Copy 071222'!$L$34,'Working Copy 071222'!$M$34,'Working Copy 071222'!$N$34,'Working Copy 071222'!$O$34,'Working Copy 071222'!$T$34,'Working Copy 071222'!$U$34,'Working Copy 071222'!$Q$35</definedName>
    <definedName name="QB_FORMULA_4" localSheetId="10" hidden="1">'060421 For Trustees Prior Year '!$W$33,'060421 For Trustees Prior Year '!$X$33,'060421 For Trustees Prior Year '!$G$34,'060421 For Trustees Prior Year '!$H$34,'060421 For Trustees Prior Year '!$I$34,'060421 For Trustees Prior Year '!$J$34,'060421 For Trustees Prior Year '!$K$34,'060421 For Trustees Prior Year '!$L$34,'060421 For Trustees Prior Year '!$M$34,'060421 For Trustees Prior Year '!$N$34,'060421 For Trustees Prior Year '!$O$34,'060421 For Trustees Prior Year '!$P$34,'060421 For Trustees Prior Year '!$Q$34,'060421 For Trustees Prior Year '!$R$34,'060421 For Trustees Prior Year '!$W$34,'060421 For Trustees Prior Year '!$X$34</definedName>
    <definedName name="QB_FORMULA_4" localSheetId="9" hidden="1">'Ad Downloaded 042822'!$I$34,'Ad Downloaded 042822'!$J$34,'Ad Downloaded 042822'!$K$34,'Ad Downloaded 042822'!$L$34,'Ad Downloaded 042822'!$M$34,'Ad Downloaded 042822'!$N$34,'Ad Downloaded 042822'!$O$34,'Ad Downloaded 042822'!$P$34,'Ad Downloaded 042822'!$Q$34,'Ad Downloaded 042822'!$R$34,'Ad Downloaded 042822'!$S$34,'Ad Downloaded 042822'!$T$34,'Ad Downloaded 042822'!$T$36,'Ad Downloaded 042822'!$H$37,'Ad Downloaded 042822'!$I$37,'Ad Downloaded 042822'!$J$37</definedName>
    <definedName name="QB_FORMULA_4" localSheetId="1" hidden="1">'App Bud for Input'!$R$35,'App Bud for Input'!$S$35,'App Bud for Input'!$H$35,'App Bud for Input'!$I$35,'App Bud for Input'!$J$35,'App Bud for Input'!$K$35,'App Bud for Input'!$L$35,'App Bud for Input'!$M$35,'App Bud for Input'!$N$35,'App Bud for Input'!$O$35,'App Bud for Input'!$T$35,'App Bud for Input'!$U$35,'App Bud for Input'!$U$37,'App Bud for Input'!$Q$38,'App Bud for Input'!$R$38,'App Bud for Input'!$S$38</definedName>
    <definedName name="QB_FORMULA_4" localSheetId="0" hidden="1">'Approved Budget'!$R$35,'Approved Budget'!$S$35,'Approved Budget'!$H$35,'Approved Budget'!$I$35,'Approved Budget'!$J$35,'Approved Budget'!$K$35,'Approved Budget'!$L$35,'Approved Budget'!$M$35,'Approved Budget'!$N$35,'Approved Budget'!$O$35,'Approved Budget'!$T$35,'Approved Budget'!$U$35,'Approved Budget'!$U$37,'Approved Budget'!$Q$38,'Approved Budget'!$R$38,'Approved Budget'!$S$38</definedName>
    <definedName name="QB_FORMULA_4" localSheetId="5" hidden="1">'For Trustee 061422'!$R$35,'For Trustee 061422'!$S$35,'For Trustee 061422'!$H$35,'For Trustee 061422'!$I$35,'For Trustee 061422'!$J$35,'For Trustee 061422'!$K$35,'For Trustee 061422'!$L$35,'For Trustee 061422'!$M$35,'For Trustee 061422'!$N$35,'For Trustee 061422'!$O$35,'For Trustee 061422'!$T$35,'For Trustee 061422'!$U$35,'For Trustee 061422'!$U$37,'For Trustee 061422'!$Q$38,'For Trustee 061422'!$R$38,'For Trustee 061422'!$S$38</definedName>
    <definedName name="QB_FORMULA_4" localSheetId="7" hidden="1">'For Trustees 050522'!$R$35,'For Trustees 050522'!$S$35,'For Trustees 050522'!$H$35,'For Trustees 050522'!$I$35,'For Trustees 050522'!$J$35,'For Trustees 050522'!$K$35,'For Trustees 050522'!$L$35,'For Trustees 050522'!$M$35,'For Trustees 050522'!$N$35,'For Trustees 050522'!$O$35,'For Trustees 050522'!$T$35,'For Trustees 050522'!$U$35,'For Trustees 050522'!$U$37,'For Trustees 050522'!$Q$38,'For Trustees 050522'!$R$38,'For Trustees 050522'!$S$38</definedName>
    <definedName name="QB_FORMULA_4" localSheetId="2" hidden="1">'For Trustees 071222 '!$R$35,'For Trustees 071222 '!$S$35,'For Trustees 071222 '!$H$35,'For Trustees 071222 '!$I$35,'For Trustees 071222 '!$J$35,'For Trustees 071222 '!$K$35,'For Trustees 071222 '!$L$35,'For Trustees 071222 '!$M$35,'For Trustees 071222 '!$N$35,'For Trustees 071222 '!$O$35,'For Trustees 071222 '!$T$35,'For Trustees 071222 '!$U$35,'For Trustees 071222 '!$U$37,'For Trustees 071222 '!$Q$38,'For Trustees 071222 '!$R$38,'For Trustees 071222 '!$S$38</definedName>
    <definedName name="QB_FORMULA_4" localSheetId="8" hidden="1">'Working Copy 050522'!$R$35,'Working Copy 050522'!$S$35,'Working Copy 050522'!$H$35,'Working Copy 050522'!$I$35,'Working Copy 050522'!$J$35,'Working Copy 050522'!$K$35,'Working Copy 050522'!$L$35,'Working Copy 050522'!$M$35,'Working Copy 050522'!$N$35,'Working Copy 050522'!$O$35,'Working Copy 050522'!$T$35,'Working Copy 050522'!$U$35,'Working Copy 050522'!$U$37,'Working Copy 050522'!$Q$38,'Working Copy 050522'!$R$38,'Working Copy 050522'!$S$38</definedName>
    <definedName name="QB_FORMULA_4" localSheetId="6" hidden="1">'Working Copy 061422'!$R$35,'Working Copy 061422'!$S$35,'Working Copy 061422'!$H$35,'Working Copy 061422'!$I$35,'Working Copy 061422'!$J$35,'Working Copy 061422'!$K$35,'Working Copy 061422'!$L$35,'Working Copy 061422'!$M$35,'Working Copy 061422'!$N$35,'Working Copy 061422'!$O$35,'Working Copy 061422'!$T$35,'Working Copy 061422'!$U$35,'Working Copy 061422'!$U$37,'Working Copy 061422'!$Q$38,'Working Copy 061422'!$R$38,'Working Copy 061422'!$S$38</definedName>
    <definedName name="QB_FORMULA_4" localSheetId="3" hidden="1">'Working Copy 071222'!$R$35,'Working Copy 071222'!$S$35,'Working Copy 071222'!$H$35,'Working Copy 071222'!$I$35,'Working Copy 071222'!$J$35,'Working Copy 071222'!$K$35,'Working Copy 071222'!$L$35,'Working Copy 071222'!$M$35,'Working Copy 071222'!$N$35,'Working Copy 071222'!$O$35,'Working Copy 071222'!$T$35,'Working Copy 071222'!$U$35,'Working Copy 071222'!$U$37,'Working Copy 071222'!$Q$38,'Working Copy 071222'!$R$38,'Working Copy 071222'!$S$38</definedName>
    <definedName name="QB_FORMULA_5" localSheetId="10" hidden="1">'060421 For Trustees Prior Year '!$X$36,'060421 For Trustees Prior Year '!$G$37,'060421 For Trustees Prior Year '!$H$37,'060421 For Trustees Prior Year '!$I$37,'060421 For Trustees Prior Year '!$J$37,'060421 For Trustees Prior Year '!$K$37,'060421 For Trustees Prior Year '!$L$37,'060421 For Trustees Prior Year '!$M$37,'060421 For Trustees Prior Year '!$N$37,'060421 For Trustees Prior Year '!$O$37,'060421 For Trustees Prior Year '!$P$37,'060421 For Trustees Prior Year '!$Q$37,'060421 For Trustees Prior Year '!$R$37,'060421 For Trustees Prior Year '!$W$37,'060421 For Trustees Prior Year '!$X$37,'060421 For Trustees Prior Year '!$G$38</definedName>
    <definedName name="QB_FORMULA_5" localSheetId="9" hidden="1">'Ad Downloaded 042822'!$K$37,'Ad Downloaded 042822'!$L$37,'Ad Downloaded 042822'!$M$37,'Ad Downloaded 042822'!$N$37,'Ad Downloaded 042822'!$O$37,'Ad Downloaded 042822'!$P$37,'Ad Downloaded 042822'!$Q$37,'Ad Downloaded 042822'!$R$37,'Ad Downloaded 042822'!$S$37,'Ad Downloaded 042822'!$T$37,'Ad Downloaded 042822'!$H$38,'Ad Downloaded 042822'!$I$38,'Ad Downloaded 042822'!$J$38,'Ad Downloaded 042822'!$K$38,'Ad Downloaded 042822'!$L$38,'Ad Downloaded 042822'!$M$38</definedName>
    <definedName name="QB_FORMULA_5" localSheetId="1" hidden="1">'App Bud for Input'!$H$38,'App Bud for Input'!$I$38,'App Bud for Input'!$J$38,'App Bud for Input'!$K$38,'App Bud for Input'!$L$38,'App Bud for Input'!$M$38,'App Bud for Input'!$N$38,'App Bud for Input'!$O$38,'App Bud for Input'!$T$38,'App Bud for Input'!$U$38,'App Bud for Input'!$Q$39,'App Bud for Input'!$R$39,'App Bud for Input'!$S$39,'App Bud for Input'!$H$39,'App Bud for Input'!$I$39,'App Bud for Input'!$J$39</definedName>
    <definedName name="QB_FORMULA_5" localSheetId="0" hidden="1">'Approved Budget'!$H$38,'Approved Budget'!$I$38,'Approved Budget'!$J$38,'Approved Budget'!$K$38,'Approved Budget'!$L$38,'Approved Budget'!$M$38,'Approved Budget'!$N$38,'Approved Budget'!$O$38,'Approved Budget'!$T$38,'Approved Budget'!$U$38,'Approved Budget'!$Q$39,'Approved Budget'!$R$39,'Approved Budget'!$S$39,'Approved Budget'!$H$39,'Approved Budget'!$I$39,'Approved Budget'!$J$39</definedName>
    <definedName name="QB_FORMULA_5" localSheetId="5" hidden="1">'For Trustee 061422'!$H$38,'For Trustee 061422'!$I$38,'For Trustee 061422'!$J$38,'For Trustee 061422'!$K$38,'For Trustee 061422'!$L$38,'For Trustee 061422'!$M$38,'For Trustee 061422'!$N$38,'For Trustee 061422'!$O$38,'For Trustee 061422'!$T$38,'For Trustee 061422'!$U$38,'For Trustee 061422'!$Q$39,'For Trustee 061422'!$R$39,'For Trustee 061422'!$S$39,'For Trustee 061422'!$H$39,'For Trustee 061422'!$I$39,'For Trustee 061422'!$J$39</definedName>
    <definedName name="QB_FORMULA_5" localSheetId="7" hidden="1">'For Trustees 050522'!$H$38,'For Trustees 050522'!$I$38,'For Trustees 050522'!$J$38,'For Trustees 050522'!$K$38,'For Trustees 050522'!$L$38,'For Trustees 050522'!$M$38,'For Trustees 050522'!$N$38,'For Trustees 050522'!$O$38,'For Trustees 050522'!$T$38,'For Trustees 050522'!$U$38,'For Trustees 050522'!$Q$39,'For Trustees 050522'!$R$39,'For Trustees 050522'!$S$39,'For Trustees 050522'!$H$39,'For Trustees 050522'!$I$39,'For Trustees 050522'!$J$39</definedName>
    <definedName name="QB_FORMULA_5" localSheetId="2" hidden="1">'For Trustees 071222 '!$H$38,'For Trustees 071222 '!$I$38,'For Trustees 071222 '!$J$38,'For Trustees 071222 '!$K$38,'For Trustees 071222 '!$L$38,'For Trustees 071222 '!$M$38,'For Trustees 071222 '!$N$38,'For Trustees 071222 '!$O$38,'For Trustees 071222 '!$T$38,'For Trustees 071222 '!$U$38,'For Trustees 071222 '!$Q$39,'For Trustees 071222 '!$R$39,'For Trustees 071222 '!$S$39,'For Trustees 071222 '!$H$39,'For Trustees 071222 '!$I$39,'For Trustees 071222 '!$J$39</definedName>
    <definedName name="QB_FORMULA_5" localSheetId="8" hidden="1">'Working Copy 050522'!$H$38,'Working Copy 050522'!$I$38,'Working Copy 050522'!$J$38,'Working Copy 050522'!$K$38,'Working Copy 050522'!$L$38,'Working Copy 050522'!$M$38,'Working Copy 050522'!$N$38,'Working Copy 050522'!$O$38,'Working Copy 050522'!$T$38,'Working Copy 050522'!$U$38,'Working Copy 050522'!$Q$39,'Working Copy 050522'!$R$39,'Working Copy 050522'!$S$39,'Working Copy 050522'!$H$39,'Working Copy 050522'!$I$39,'Working Copy 050522'!$J$39</definedName>
    <definedName name="QB_FORMULA_5" localSheetId="6" hidden="1">'Working Copy 061422'!$H$38,'Working Copy 061422'!$I$38,'Working Copy 061422'!$J$38,'Working Copy 061422'!$K$38,'Working Copy 061422'!$L$38,'Working Copy 061422'!$M$38,'Working Copy 061422'!$N$38,'Working Copy 061422'!$O$38,'Working Copy 061422'!$T$38,'Working Copy 061422'!$U$38,'Working Copy 061422'!$Q$39,'Working Copy 061422'!$R$39,'Working Copy 061422'!$S$39,'Working Copy 061422'!$H$39,'Working Copy 061422'!$I$39,'Working Copy 061422'!$J$39</definedName>
    <definedName name="QB_FORMULA_5" localSheetId="3" hidden="1">'Working Copy 071222'!$H$38,'Working Copy 071222'!$I$38,'Working Copy 071222'!$J$38,'Working Copy 071222'!$K$38,'Working Copy 071222'!$L$38,'Working Copy 071222'!$M$38,'Working Copy 071222'!$N$38,'Working Copy 071222'!$O$38,'Working Copy 071222'!$T$38,'Working Copy 071222'!$U$38,'Working Copy 071222'!$Q$39,'Working Copy 071222'!$R$39,'Working Copy 071222'!$S$39,'Working Copy 071222'!$H$39,'Working Copy 071222'!$I$39,'Working Copy 071222'!$J$39</definedName>
    <definedName name="QB_FORMULA_6" localSheetId="10" hidden="1">'060421 For Trustees Prior Year '!$H$38,'060421 For Trustees Prior Year '!$I$38,'060421 For Trustees Prior Year '!$J$38,'060421 For Trustees Prior Year '!$K$38,'060421 For Trustees Prior Year '!$L$38,'060421 For Trustees Prior Year '!$M$38,'060421 For Trustees Prior Year '!$N$38,'060421 For Trustees Prior Year '!$O$38,'060421 For Trustees Prior Year '!$P$38,'060421 For Trustees Prior Year '!$Q$38,'060421 For Trustees Prior Year '!$R$38,'060421 For Trustees Prior Year '!$W$38,'060421 For Trustees Prior Year '!$X$38,'060421 For Trustees Prior Year '!$X$42,'060421 For Trustees Prior Year '!$X$45,'060421 For Trustees Prior Year '!$X$46</definedName>
    <definedName name="QB_FORMULA_6" localSheetId="9" hidden="1">'Ad Downloaded 042822'!$N$38,'Ad Downloaded 042822'!$O$38,'Ad Downloaded 042822'!$P$38,'Ad Downloaded 042822'!$Q$38,'Ad Downloaded 042822'!$R$38,'Ad Downloaded 042822'!$S$38,'Ad Downloaded 042822'!$T$38,'Ad Downloaded 042822'!$T$42,'Ad Downloaded 042822'!$T$43,'Ad Downloaded 042822'!$T$44,'Ad Downloaded 042822'!$T$45,'Ad Downloaded 042822'!$H$46,'Ad Downloaded 042822'!$I$46,'Ad Downloaded 042822'!$J$46,'Ad Downloaded 042822'!$K$46,'Ad Downloaded 042822'!$L$46</definedName>
    <definedName name="QB_FORMULA_6" localSheetId="1" hidden="1">'App Bud for Input'!$K$39,'App Bud for Input'!$L$39,'App Bud for Input'!$M$39,'App Bud for Input'!$N$39,'App Bud for Input'!$O$39,'App Bud for Input'!$T$39,'App Bud for Input'!$U$39,'App Bud for Input'!$U$43,'App Bud for Input'!$U$44,'App Bud for Input'!$U$45,'App Bud for Input'!$U$46,'App Bud for Input'!$Q$47,'App Bud for Input'!$R$47,'App Bud for Input'!$S$47,'App Bud for Input'!$H$47,'App Bud for Input'!$I$47</definedName>
    <definedName name="QB_FORMULA_6" localSheetId="0" hidden="1">'Approved Budget'!$K$39,'Approved Budget'!$L$39,'Approved Budget'!$M$39,'Approved Budget'!$N$39,'Approved Budget'!$O$39,'Approved Budget'!$T$39,'Approved Budget'!$U$39,'Approved Budget'!$U$43,'Approved Budget'!$U$44,'Approved Budget'!$U$45,'Approved Budget'!$U$46,'Approved Budget'!$Q$47,'Approved Budget'!$R$47,'Approved Budget'!$S$47,'Approved Budget'!$H$47,'Approved Budget'!$I$47</definedName>
    <definedName name="QB_FORMULA_6" localSheetId="5" hidden="1">'For Trustee 061422'!$K$39,'For Trustee 061422'!$L$39,'For Trustee 061422'!$M$39,'For Trustee 061422'!$N$39,'For Trustee 061422'!$O$39,'For Trustee 061422'!$T$39,'For Trustee 061422'!$U$39,'For Trustee 061422'!$U$43,'For Trustee 061422'!$U$44,'For Trustee 061422'!$U$45,'For Trustee 061422'!$U$46,'For Trustee 061422'!$Q$47,'For Trustee 061422'!$R$47,'For Trustee 061422'!$S$47,'For Trustee 061422'!$H$47,'For Trustee 061422'!$I$47</definedName>
    <definedName name="QB_FORMULA_6" localSheetId="7" hidden="1">'For Trustees 050522'!$K$39,'For Trustees 050522'!$L$39,'For Trustees 050522'!$M$39,'For Trustees 050522'!$N$39,'For Trustees 050522'!$O$39,'For Trustees 050522'!$T$39,'For Trustees 050522'!$U$39,'For Trustees 050522'!$U$43,'For Trustees 050522'!$U$44,'For Trustees 050522'!$U$45,'For Trustees 050522'!$U$46,'For Trustees 050522'!$Q$47,'For Trustees 050522'!$R$47,'For Trustees 050522'!$S$47,'For Trustees 050522'!$H$47,'For Trustees 050522'!$I$47</definedName>
    <definedName name="QB_FORMULA_6" localSheetId="2" hidden="1">'For Trustees 071222 '!$K$39,'For Trustees 071222 '!$L$39,'For Trustees 071222 '!$M$39,'For Trustees 071222 '!$N$39,'For Trustees 071222 '!$O$39,'For Trustees 071222 '!$T$39,'For Trustees 071222 '!$U$39,'For Trustees 071222 '!$U$43,'For Trustees 071222 '!$U$44,'For Trustees 071222 '!$U$45,'For Trustees 071222 '!$U$46,'For Trustees 071222 '!$Q$47,'For Trustees 071222 '!$R$47,'For Trustees 071222 '!$S$47,'For Trustees 071222 '!$H$47,'For Trustees 071222 '!$I$47</definedName>
    <definedName name="QB_FORMULA_6" localSheetId="8" hidden="1">'Working Copy 050522'!$K$39,'Working Copy 050522'!$L$39,'Working Copy 050522'!$M$39,'Working Copy 050522'!$N$39,'Working Copy 050522'!$O$39,'Working Copy 050522'!$T$39,'Working Copy 050522'!$U$39,'Working Copy 050522'!$U$43,'Working Copy 050522'!$U$44,'Working Copy 050522'!$U$45,'Working Copy 050522'!$U$46,'Working Copy 050522'!$Q$47,'Working Copy 050522'!$R$47,'Working Copy 050522'!$S$47,'Working Copy 050522'!$H$47,'Working Copy 050522'!$I$47</definedName>
    <definedName name="QB_FORMULA_6" localSheetId="6" hidden="1">'Working Copy 061422'!$K$39,'Working Copy 061422'!$L$39,'Working Copy 061422'!$M$39,'Working Copy 061422'!$N$39,'Working Copy 061422'!$O$39,'Working Copy 061422'!$T$39,'Working Copy 061422'!$U$39,'Working Copy 061422'!$U$43,'Working Copy 061422'!$U$44,'Working Copy 061422'!$U$45,'Working Copy 061422'!$U$46,'Working Copy 061422'!$Q$47,'Working Copy 061422'!$R$47,'Working Copy 061422'!$S$47,'Working Copy 061422'!$H$47,'Working Copy 061422'!$I$47</definedName>
    <definedName name="QB_FORMULA_6" localSheetId="3" hidden="1">'Working Copy 071222'!$K$39,'Working Copy 071222'!$L$39,'Working Copy 071222'!$M$39,'Working Copy 071222'!$N$39,'Working Copy 071222'!$O$39,'Working Copy 071222'!$T$39,'Working Copy 071222'!$U$39,'Working Copy 071222'!$U$43,'Working Copy 071222'!$U$44,'Working Copy 071222'!$U$45,'Working Copy 071222'!$U$46,'Working Copy 071222'!$Q$47,'Working Copy 071222'!$R$47,'Working Copy 071222'!$S$47,'Working Copy 071222'!$H$47,'Working Copy 071222'!$I$47</definedName>
    <definedName name="QB_FORMULA_7" localSheetId="10" hidden="1">'060421 For Trustees Prior Year '!$G$47,'060421 For Trustees Prior Year '!$H$47,'060421 For Trustees Prior Year '!$I$47,'060421 For Trustees Prior Year '!$J$47,'060421 For Trustees Prior Year '!$K$47,'060421 For Trustees Prior Year '!$L$47,'060421 For Trustees Prior Year '!$M$47,'060421 For Trustees Prior Year '!$N$47,'060421 For Trustees Prior Year '!$O$47,'060421 For Trustees Prior Year '!$P$47,'060421 For Trustees Prior Year '!$Q$47,'060421 For Trustees Prior Year '!$R$47,'060421 For Trustees Prior Year '!$W$47,'060421 For Trustees Prior Year '!$X$47,'060421 For Trustees Prior Year '!$X$51,'060421 For Trustees Prior Year '!$X$52</definedName>
    <definedName name="QB_FORMULA_7" localSheetId="9" hidden="1">'Ad Downloaded 042822'!$M$46,'Ad Downloaded 042822'!$N$46,'Ad Downloaded 042822'!$O$46,'Ad Downloaded 042822'!$P$46,'Ad Downloaded 042822'!$Q$46,'Ad Downloaded 042822'!$R$46,'Ad Downloaded 042822'!$S$46,'Ad Downloaded 042822'!$T$46,'Ad Downloaded 042822'!$T$48,'Ad Downloaded 042822'!$H$49,'Ad Downloaded 042822'!$I$49,'Ad Downloaded 042822'!$J$49,'Ad Downloaded 042822'!$K$49,'Ad Downloaded 042822'!$L$49,'Ad Downloaded 042822'!$M$49,'Ad Downloaded 042822'!$N$49</definedName>
    <definedName name="QB_FORMULA_7" localSheetId="1" hidden="1">'App Bud for Input'!$J$47,'App Bud for Input'!$K$47,'App Bud for Input'!$L$47,'App Bud for Input'!$M$47,'App Bud for Input'!$N$47,'App Bud for Input'!$O$47,'App Bud for Input'!$T$47,'App Bud for Input'!$U$47,'App Bud for Input'!$U$51,'App Bud for Input'!$Q$52,'App Bud for Input'!$R$52,'App Bud for Input'!$S$52,'App Bud for Input'!$H$52,'App Bud for Input'!$I$52,'App Bud for Input'!$J$52,'App Bud for Input'!$K$52</definedName>
    <definedName name="QB_FORMULA_7" localSheetId="0" hidden="1">'Approved Budget'!$J$47,'Approved Budget'!$K$47,'Approved Budget'!$L$47,'Approved Budget'!$M$47,'Approved Budget'!$N$47,'Approved Budget'!$O$47,'Approved Budget'!$T$47,'Approved Budget'!$U$47,'Approved Budget'!$U$51,'Approved Budget'!$Q$52,'Approved Budget'!$R$52,'Approved Budget'!$S$52,'Approved Budget'!$H$52,'Approved Budget'!$I$52,'Approved Budget'!$J$52,'Approved Budget'!$K$52</definedName>
    <definedName name="QB_FORMULA_7" localSheetId="5" hidden="1">'For Trustee 061422'!$J$47,'For Trustee 061422'!$K$47,'For Trustee 061422'!$L$47,'For Trustee 061422'!$M$47,'For Trustee 061422'!$N$47,'For Trustee 061422'!$O$47,'For Trustee 061422'!$T$47,'For Trustee 061422'!$U$47,'For Trustee 061422'!$U$51,'For Trustee 061422'!$Q$52,'For Trustee 061422'!$R$52,'For Trustee 061422'!$S$52,'For Trustee 061422'!$H$52,'For Trustee 061422'!$I$52,'For Trustee 061422'!$J$52,'For Trustee 061422'!$K$52</definedName>
    <definedName name="QB_FORMULA_7" localSheetId="7" hidden="1">'For Trustees 050522'!$J$47,'For Trustees 050522'!$K$47,'For Trustees 050522'!$L$47,'For Trustees 050522'!$M$47,'For Trustees 050522'!$N$47,'For Trustees 050522'!$O$47,'For Trustees 050522'!$T$47,'For Trustees 050522'!$U$47,'For Trustees 050522'!$U$51,'For Trustees 050522'!$Q$52,'For Trustees 050522'!$R$52,'For Trustees 050522'!$S$52,'For Trustees 050522'!$H$52,'For Trustees 050522'!$I$52,'For Trustees 050522'!$J$52,'For Trustees 050522'!$K$52</definedName>
    <definedName name="QB_FORMULA_7" localSheetId="2" hidden="1">'For Trustees 071222 '!$J$47,'For Trustees 071222 '!$K$47,'For Trustees 071222 '!$L$47,'For Trustees 071222 '!$M$47,'For Trustees 071222 '!$N$47,'For Trustees 071222 '!$O$47,'For Trustees 071222 '!$T$47,'For Trustees 071222 '!$U$47,'For Trustees 071222 '!$U$51,'For Trustees 071222 '!$Q$52,'For Trustees 071222 '!$R$52,'For Trustees 071222 '!$S$52,'For Trustees 071222 '!$H$52,'For Trustees 071222 '!$I$52,'For Trustees 071222 '!$J$52,'For Trustees 071222 '!$K$52</definedName>
    <definedName name="QB_FORMULA_7" localSheetId="8" hidden="1">'Working Copy 050522'!$J$47,'Working Copy 050522'!$K$47,'Working Copy 050522'!$L$47,'Working Copy 050522'!$M$47,'Working Copy 050522'!$N$47,'Working Copy 050522'!$O$47,'Working Copy 050522'!$T$47,'Working Copy 050522'!$U$47,'Working Copy 050522'!$U$49,'Working Copy 050522'!$Q$50,'Working Copy 050522'!$R$50,'Working Copy 050522'!$S$50,'Working Copy 050522'!$H$50,'Working Copy 050522'!$I$50,'Working Copy 050522'!$J$50,'Working Copy 050522'!$K$50</definedName>
    <definedName name="QB_FORMULA_7" localSheetId="6" hidden="1">'Working Copy 061422'!$J$47,'Working Copy 061422'!$K$47,'Working Copy 061422'!$L$47,'Working Copy 061422'!$M$47,'Working Copy 061422'!$N$47,'Working Copy 061422'!$O$47,'Working Copy 061422'!$T$47,'Working Copy 061422'!$U$47,'Working Copy 061422'!$U$51,'Working Copy 061422'!$Q$52,'Working Copy 061422'!$R$52,'Working Copy 061422'!$S$52,'Working Copy 061422'!$H$52,'Working Copy 061422'!$I$52,'Working Copy 061422'!$J$52,'Working Copy 061422'!$K$52</definedName>
    <definedName name="QB_FORMULA_7" localSheetId="3" hidden="1">'Working Copy 071222'!$J$47,'Working Copy 071222'!$K$47,'Working Copy 071222'!$L$47,'Working Copy 071222'!$M$47,'Working Copy 071222'!$N$47,'Working Copy 071222'!$O$47,'Working Copy 071222'!$T$47,'Working Copy 071222'!$U$47,'Working Copy 071222'!$U$51,'Working Copy 071222'!$Q$52,'Working Copy 071222'!$R$52,'Working Copy 071222'!$S$52,'Working Copy 071222'!$H$52,'Working Copy 071222'!$I$52,'Working Copy 071222'!$J$52,'Working Copy 071222'!$K$52</definedName>
    <definedName name="QB_FORMULA_8" localSheetId="10" hidden="1">'060421 For Trustees Prior Year '!$G$53,'060421 For Trustees Prior Year '!$H$53,'060421 For Trustees Prior Year '!$I$53,'060421 For Trustees Prior Year '!$J$53,'060421 For Trustees Prior Year '!$K$53,'060421 For Trustees Prior Year '!$L$53,'060421 For Trustees Prior Year '!$M$53,'060421 For Trustees Prior Year '!$N$53,'060421 For Trustees Prior Year '!$O$53,'060421 For Trustees Prior Year '!$P$53,'060421 For Trustees Prior Year '!$Q$53,'060421 For Trustees Prior Year '!$R$53,'060421 For Trustees Prior Year '!$W$53,'060421 For Trustees Prior Year '!$X$53,'060421 For Trustees Prior Year '!$X$55,'060421 For Trustees Prior Year '!$X$56</definedName>
    <definedName name="QB_FORMULA_8" localSheetId="9" hidden="1">'Ad Downloaded 042822'!$O$49,'Ad Downloaded 042822'!$P$49,'Ad Downloaded 042822'!$Q$49,'Ad Downloaded 042822'!$R$49,'Ad Downloaded 042822'!$S$49,'Ad Downloaded 042822'!$T$49,'Ad Downloaded 042822'!$T$51,'Ad Downloaded 042822'!$T$52,'Ad Downloaded 042822'!$H$53,'Ad Downloaded 042822'!$I$53,'Ad Downloaded 042822'!$J$53,'Ad Downloaded 042822'!$K$53,'Ad Downloaded 042822'!$L$53,'Ad Downloaded 042822'!$M$53,'Ad Downloaded 042822'!$N$53,'Ad Downloaded 042822'!$O$53</definedName>
    <definedName name="QB_FORMULA_8" localSheetId="1" hidden="1">'App Bud for Input'!$L$52,'App Bud for Input'!$M$52,'App Bud for Input'!$N$52,'App Bud for Input'!$O$52,'App Bud for Input'!$T$52,'App Bud for Input'!$U$52,'App Bud for Input'!$U$54,'App Bud for Input'!$U$55,'App Bud for Input'!$Q$56,'App Bud for Input'!$R$56,'App Bud for Input'!$S$56,'App Bud for Input'!$H$56,'App Bud for Input'!$I$56,'App Bud for Input'!$J$56,'App Bud for Input'!$K$56,'App Bud for Input'!$L$56</definedName>
    <definedName name="QB_FORMULA_8" localSheetId="0" hidden="1">'Approved Budget'!$L$52,'Approved Budget'!$M$52,'Approved Budget'!$N$52,'Approved Budget'!$O$52,'Approved Budget'!$T$52,'Approved Budget'!$U$52,'Approved Budget'!$U$54,'Approved Budget'!$U$55,'Approved Budget'!$Q$56,'Approved Budget'!$R$56,'Approved Budget'!$S$56,'Approved Budget'!$H$56,'Approved Budget'!$I$56,'Approved Budget'!$J$56,'Approved Budget'!$K$56,'Approved Budget'!$L$56</definedName>
    <definedName name="QB_FORMULA_8" localSheetId="5" hidden="1">'For Trustee 061422'!$L$52,'For Trustee 061422'!$M$52,'For Trustee 061422'!$N$52,'For Trustee 061422'!$O$52,'For Trustee 061422'!$T$52,'For Trustee 061422'!$U$52,'For Trustee 061422'!$U$54,'For Trustee 061422'!$U$55,'For Trustee 061422'!$Q$56,'For Trustee 061422'!$R$56,'For Trustee 061422'!$S$56,'For Trustee 061422'!$H$56,'For Trustee 061422'!$I$56,'For Trustee 061422'!$J$56,'For Trustee 061422'!$K$56,'For Trustee 061422'!$L$56</definedName>
    <definedName name="QB_FORMULA_8" localSheetId="7" hidden="1">'For Trustees 050522'!$L$52,'For Trustees 050522'!$M$52,'For Trustees 050522'!$N$52,'For Trustees 050522'!$O$52,'For Trustees 050522'!$T$52,'For Trustees 050522'!$U$52,'For Trustees 050522'!$U$54,'For Trustees 050522'!$U$55,'For Trustees 050522'!$Q$56,'For Trustees 050522'!$R$56,'For Trustees 050522'!$S$56,'For Trustees 050522'!$H$56,'For Trustees 050522'!$I$56,'For Trustees 050522'!$J$56,'For Trustees 050522'!$K$56,'For Trustees 050522'!$L$56</definedName>
    <definedName name="QB_FORMULA_8" localSheetId="2" hidden="1">'For Trustees 071222 '!$L$52,'For Trustees 071222 '!$M$52,'For Trustees 071222 '!$N$52,'For Trustees 071222 '!$O$52,'For Trustees 071222 '!$T$52,'For Trustees 071222 '!$U$52,'For Trustees 071222 '!$U$54,'For Trustees 071222 '!$U$55,'For Trustees 071222 '!$Q$56,'For Trustees 071222 '!$R$56,'For Trustees 071222 '!$S$56,'For Trustees 071222 '!$H$56,'For Trustees 071222 '!$I$56,'For Trustees 071222 '!$J$56,'For Trustees 071222 '!$K$56,'For Trustees 071222 '!$L$56</definedName>
    <definedName name="QB_FORMULA_8" localSheetId="8" hidden="1">'Working Copy 050522'!$L$50,'Working Copy 050522'!$M$50,'Working Copy 050522'!$N$50,'Working Copy 050522'!$O$50,'Working Copy 050522'!$T$50,'Working Copy 050522'!$U$50,'Working Copy 050522'!$U$52,'Working Copy 050522'!$U$53,'Working Copy 050522'!$Q$54,'Working Copy 050522'!$R$54,'Working Copy 050522'!$S$54,'Working Copy 050522'!$H$54,'Working Copy 050522'!$I$54,'Working Copy 050522'!$J$54,'Working Copy 050522'!$K$54,'Working Copy 050522'!$L$54</definedName>
    <definedName name="QB_FORMULA_8" localSheetId="6" hidden="1">'Working Copy 061422'!$L$52,'Working Copy 061422'!$M$52,'Working Copy 061422'!$N$52,'Working Copy 061422'!$O$52,'Working Copy 061422'!$T$52,'Working Copy 061422'!$U$52,'Working Copy 061422'!$U$54,'Working Copy 061422'!$U$55,'Working Copy 061422'!$Q$56,'Working Copy 061422'!$R$56,'Working Copy 061422'!$S$56,'Working Copy 061422'!$H$56,'Working Copy 061422'!$I$56,'Working Copy 061422'!$J$56,'Working Copy 061422'!$K$56,'Working Copy 061422'!$L$56</definedName>
    <definedName name="QB_FORMULA_8" localSheetId="3" hidden="1">'Working Copy 071222'!$L$52,'Working Copy 071222'!$M$52,'Working Copy 071222'!$N$52,'Working Copy 071222'!$O$52,'Working Copy 071222'!$T$52,'Working Copy 071222'!$U$52,'Working Copy 071222'!$U$54,'Working Copy 071222'!$U$55,'Working Copy 071222'!$Q$56,'Working Copy 071222'!$R$56,'Working Copy 071222'!$S$56,'Working Copy 071222'!$H$56,'Working Copy 071222'!$I$56,'Working Copy 071222'!$J$56,'Working Copy 071222'!$K$56,'Working Copy 071222'!$L$56</definedName>
    <definedName name="QB_FORMULA_9" localSheetId="10" hidden="1">'060421 For Trustees Prior Year '!$G$57,'060421 For Trustees Prior Year '!$H$57,'060421 For Trustees Prior Year '!$I$57,'060421 For Trustees Prior Year '!$J$57,'060421 For Trustees Prior Year '!$K$57,'060421 For Trustees Prior Year '!$L$57,'060421 For Trustees Prior Year '!$M$57,'060421 For Trustees Prior Year '!$N$57,'060421 For Trustees Prior Year '!$O$57,'060421 For Trustees Prior Year '!$P$57,'060421 For Trustees Prior Year '!$Q$57,'060421 For Trustees Prior Year '!$R$57,'060421 For Trustees Prior Year '!$W$57,'060421 For Trustees Prior Year '!$X$57,'060421 For Trustees Prior Year '!$X$59,'060421 For Trustees Prior Year '!$X$60</definedName>
    <definedName name="QB_FORMULA_9" localSheetId="9" hidden="1">'Ad Downloaded 042822'!$P$53,'Ad Downloaded 042822'!$Q$53,'Ad Downloaded 042822'!$R$53,'Ad Downloaded 042822'!$S$53,'Ad Downloaded 042822'!$T$53,'Ad Downloaded 042822'!$T$55,'Ad Downloaded 042822'!$T$56,'Ad Downloaded 042822'!$H$57,'Ad Downloaded 042822'!$I$57,'Ad Downloaded 042822'!$J$57,'Ad Downloaded 042822'!$K$57,'Ad Downloaded 042822'!$L$57,'Ad Downloaded 042822'!$M$57,'Ad Downloaded 042822'!$N$57,'Ad Downloaded 042822'!$O$57,'Ad Downloaded 042822'!$P$57</definedName>
    <definedName name="QB_FORMULA_9" localSheetId="1" hidden="1">'App Bud for Input'!$M$56,'App Bud for Input'!$N$56,'App Bud for Input'!$O$56,'App Bud for Input'!$T$56,'App Bud for Input'!$U$56,'App Bud for Input'!$U$58,'App Bud for Input'!$U$59,'App Bud for Input'!$Q$60,'App Bud for Input'!$R$60,'App Bud for Input'!$S$60,'App Bud for Input'!$H$60,'App Bud for Input'!$I$60,'App Bud for Input'!$J$60,'App Bud for Input'!$K$60,'App Bud for Input'!$L$60,'App Bud for Input'!$M$60</definedName>
    <definedName name="QB_FORMULA_9" localSheetId="0" hidden="1">'Approved Budget'!$M$56,'Approved Budget'!$N$56,'Approved Budget'!$O$56,'Approved Budget'!$T$56,'Approved Budget'!$U$56,'Approved Budget'!$U$58,'Approved Budget'!$U$59,'Approved Budget'!$Q$60,'Approved Budget'!$R$60,'Approved Budget'!$S$60,'Approved Budget'!$H$60,'Approved Budget'!$I$60,'Approved Budget'!$J$60,'Approved Budget'!$K$60,'Approved Budget'!$L$60,'Approved Budget'!$M$60</definedName>
    <definedName name="QB_FORMULA_9" localSheetId="5" hidden="1">'For Trustee 061422'!$M$56,'For Trustee 061422'!$N$56,'For Trustee 061422'!$O$56,'For Trustee 061422'!$T$56,'For Trustee 061422'!$U$56,'For Trustee 061422'!$U$58,'For Trustee 061422'!$U$59,'For Trustee 061422'!$Q$60,'For Trustee 061422'!$R$60,'For Trustee 061422'!$S$60,'For Trustee 061422'!$H$60,'For Trustee 061422'!$I$60,'For Trustee 061422'!$J$60,'For Trustee 061422'!$K$60,'For Trustee 061422'!$L$60,'For Trustee 061422'!$M$60</definedName>
    <definedName name="QB_FORMULA_9" localSheetId="7" hidden="1">'For Trustees 050522'!$M$56,'For Trustees 050522'!$N$56,'For Trustees 050522'!$O$56,'For Trustees 050522'!$T$56,'For Trustees 050522'!$U$56,'For Trustees 050522'!$U$58,'For Trustees 050522'!$U$59,'For Trustees 050522'!$Q$60,'For Trustees 050522'!$R$60,'For Trustees 050522'!$S$60,'For Trustees 050522'!$H$60,'For Trustees 050522'!$I$60,'For Trustees 050522'!$J$60,'For Trustees 050522'!$K$60,'For Trustees 050522'!$L$60,'For Trustees 050522'!$M$60</definedName>
    <definedName name="QB_FORMULA_9" localSheetId="2" hidden="1">'For Trustees 071222 '!$M$56,'For Trustees 071222 '!$N$56,'For Trustees 071222 '!$O$56,'For Trustees 071222 '!$T$56,'For Trustees 071222 '!$U$56,'For Trustees 071222 '!$U$58,'For Trustees 071222 '!$U$59,'For Trustees 071222 '!$Q$60,'For Trustees 071222 '!$R$60,'For Trustees 071222 '!$S$60,'For Trustees 071222 '!$H$60,'For Trustees 071222 '!$I$60,'For Trustees 071222 '!$J$60,'For Trustees 071222 '!$K$60,'For Trustees 071222 '!$L$60,'For Trustees 071222 '!$M$60</definedName>
    <definedName name="QB_FORMULA_9" localSheetId="8" hidden="1">'Working Copy 050522'!$M$54,'Working Copy 050522'!$N$54,'Working Copy 050522'!$O$54,'Working Copy 050522'!$T$54,'Working Copy 050522'!$U$54,'Working Copy 050522'!$U$56,'Working Copy 050522'!$U$57,'Working Copy 050522'!$Q$58,'Working Copy 050522'!$R$58,'Working Copy 050522'!$S$58,'Working Copy 050522'!$H$58,'Working Copy 050522'!$I$58,'Working Copy 050522'!$J$58,'Working Copy 050522'!$K$58,'Working Copy 050522'!$L$58,'Working Copy 050522'!$M$58</definedName>
    <definedName name="QB_FORMULA_9" localSheetId="6" hidden="1">'Working Copy 061422'!$M$56,'Working Copy 061422'!$N$56,'Working Copy 061422'!$O$56,'Working Copy 061422'!$T$56,'Working Copy 061422'!$U$56,'Working Copy 061422'!$U$58,'Working Copy 061422'!$U$59,'Working Copy 061422'!$Q$60,'Working Copy 061422'!$R$60,'Working Copy 061422'!$S$60,'Working Copy 061422'!$H$60,'Working Copy 061422'!$I$60,'Working Copy 061422'!$J$60,'Working Copy 061422'!$K$60,'Working Copy 061422'!$L$60,'Working Copy 061422'!$M$60</definedName>
    <definedName name="QB_FORMULA_9" localSheetId="3" hidden="1">'Working Copy 071222'!$M$56,'Working Copy 071222'!$N$56,'Working Copy 071222'!$O$56,'Working Copy 071222'!$T$56,'Working Copy 071222'!$U$56,'Working Copy 071222'!$U$58,'Working Copy 071222'!$U$59,'Working Copy 071222'!$Q$60,'Working Copy 071222'!$R$60,'Working Copy 071222'!$S$60,'Working Copy 071222'!$H$60,'Working Copy 071222'!$I$60,'Working Copy 071222'!$J$60,'Working Copy 071222'!$K$60,'Working Copy 071222'!$L$60,'Working Copy 071222'!$M$60</definedName>
    <definedName name="QB_ROW_10260" localSheetId="9" hidden="1">'Ad Downloaded 042822'!$G$48</definedName>
    <definedName name="QB_ROW_10260" localSheetId="1" hidden="1">'App Bud for Input'!$G$51</definedName>
    <definedName name="QB_ROW_10260" localSheetId="0" hidden="1">'Approved Budget'!$G$51</definedName>
    <definedName name="QB_ROW_10260" localSheetId="5" hidden="1">'For Trustee 061422'!$G$51</definedName>
    <definedName name="QB_ROW_10260" localSheetId="7" hidden="1">'For Trustees 050522'!$G$51</definedName>
    <definedName name="QB_ROW_10260" localSheetId="2" hidden="1">'For Trustees 071222 '!$G$51</definedName>
    <definedName name="QB_ROW_10260" localSheetId="8" hidden="1">'Working Copy 050522'!$G$49</definedName>
    <definedName name="QB_ROW_10260" localSheetId="6" hidden="1">'Working Copy 061422'!$G$51</definedName>
    <definedName name="QB_ROW_10260" localSheetId="3" hidden="1">'Working Copy 071222'!$G$51</definedName>
    <definedName name="QB_ROW_103260" localSheetId="10" hidden="1">'060421 For Trustees Prior Year '!$F$122</definedName>
    <definedName name="QB_ROW_103260" localSheetId="9" hidden="1">'Ad Downloaded 042822'!$G$101</definedName>
    <definedName name="QB_ROW_103260" localSheetId="1" hidden="1">'App Bud for Input'!$G$122</definedName>
    <definedName name="QB_ROW_103260" localSheetId="0" hidden="1">'Approved Budget'!$G$122</definedName>
    <definedName name="QB_ROW_103260" localSheetId="5" hidden="1">'For Trustee 061422'!$G$122</definedName>
    <definedName name="QB_ROW_103260" localSheetId="7" hidden="1">'For Trustees 050522'!$G$122</definedName>
    <definedName name="QB_ROW_103260" localSheetId="2" hidden="1">'For Trustees 071222 '!$G$122</definedName>
    <definedName name="QB_ROW_103260" localSheetId="8" hidden="1">'Working Copy 050522'!$G$105</definedName>
    <definedName name="QB_ROW_103260" localSheetId="6" hidden="1">'Working Copy 061422'!$G$122</definedName>
    <definedName name="QB_ROW_103260" localSheetId="3" hidden="1">'Working Copy 071222'!$G$122</definedName>
    <definedName name="QB_ROW_109260" localSheetId="10" hidden="1">'060421 For Trustees Prior Year '!$F$108</definedName>
    <definedName name="QB_ROW_109260" localSheetId="9" hidden="1">'Ad Downloaded 042822'!$G$89</definedName>
    <definedName name="QB_ROW_109260" localSheetId="1" hidden="1">'App Bud for Input'!$G$108</definedName>
    <definedName name="QB_ROW_109260" localSheetId="0" hidden="1">'Approved Budget'!$G$108</definedName>
    <definedName name="QB_ROW_109260" localSheetId="5" hidden="1">'For Trustee 061422'!$G$108</definedName>
    <definedName name="QB_ROW_109260" localSheetId="7" hidden="1">'For Trustees 050522'!$G$108</definedName>
    <definedName name="QB_ROW_109260" localSheetId="2" hidden="1">'For Trustees 071222 '!$G$108</definedName>
    <definedName name="QB_ROW_109260" localSheetId="8" hidden="1">'Working Copy 050522'!$G$91</definedName>
    <definedName name="QB_ROW_109260" localSheetId="6" hidden="1">'Working Copy 061422'!$G$108</definedName>
    <definedName name="QB_ROW_109260" localSheetId="3" hidden="1">'Working Copy 071222'!$G$108</definedName>
    <definedName name="QB_ROW_11260" localSheetId="10" hidden="1">'060421 For Trustees Prior Year '!$F$42</definedName>
    <definedName name="QB_ROW_11260" localSheetId="9" hidden="1">'Ad Downloaded 042822'!$G$42</definedName>
    <definedName name="QB_ROW_11260" localSheetId="1" hidden="1">'App Bud for Input'!$G$43</definedName>
    <definedName name="QB_ROW_11260" localSheetId="0" hidden="1">'Approved Budget'!$G$43</definedName>
    <definedName name="QB_ROW_11260" localSheetId="5" hidden="1">'For Trustee 061422'!$G$43</definedName>
    <definedName name="QB_ROW_11260" localSheetId="7" hidden="1">'For Trustees 050522'!$G$43</definedName>
    <definedName name="QB_ROW_11260" localSheetId="2" hidden="1">'For Trustees 071222 '!$G$43</definedName>
    <definedName name="QB_ROW_11260" localSheetId="8" hidden="1">'Working Copy 050522'!$G$43</definedName>
    <definedName name="QB_ROW_11260" localSheetId="6" hidden="1">'Working Copy 061422'!$G$43</definedName>
    <definedName name="QB_ROW_11260" localSheetId="3" hidden="1">'Working Copy 071222'!$G$43</definedName>
    <definedName name="QB_ROW_12250" localSheetId="10" hidden="1">'060421 For Trustees Prior Year '!$E$32</definedName>
    <definedName name="QB_ROW_12250" localSheetId="9" hidden="1">'Ad Downloaded 042822'!$F$32</definedName>
    <definedName name="QB_ROW_12250" localSheetId="1" hidden="1">'App Bud for Input'!$F$33</definedName>
    <definedName name="QB_ROW_12250" localSheetId="0" hidden="1">'Approved Budget'!$F$33</definedName>
    <definedName name="QB_ROW_12250" localSheetId="5" hidden="1">'For Trustee 061422'!$F$33</definedName>
    <definedName name="QB_ROW_12250" localSheetId="7" hidden="1">'For Trustees 050522'!$F$33</definedName>
    <definedName name="QB_ROW_12250" localSheetId="2" hidden="1">'For Trustees 071222 '!$F$33</definedName>
    <definedName name="QB_ROW_12250" localSheetId="8" hidden="1">'Working Copy 050522'!$F$33</definedName>
    <definedName name="QB_ROW_12250" localSheetId="6" hidden="1">'Working Copy 061422'!$F$33</definedName>
    <definedName name="QB_ROW_12250" localSheetId="3" hidden="1">'Working Copy 071222'!$F$33</definedName>
    <definedName name="QB_ROW_1260" localSheetId="10" hidden="1">'060421 For Trustees Prior Year '!$F$59</definedName>
    <definedName name="QB_ROW_1260" localSheetId="9" hidden="1">'Ad Downloaded 042822'!$G$59</definedName>
    <definedName name="QB_ROW_1260" localSheetId="1" hidden="1">'App Bud for Input'!$G$62</definedName>
    <definedName name="QB_ROW_1260" localSheetId="0" hidden="1">'Approved Budget'!$G$62</definedName>
    <definedName name="QB_ROW_1260" localSheetId="5" hidden="1">'For Trustee 061422'!$G$62</definedName>
    <definedName name="QB_ROW_1260" localSheetId="7" hidden="1">'For Trustees 050522'!$G$62</definedName>
    <definedName name="QB_ROW_1260" localSheetId="2" hidden="1">'For Trustees 071222 '!$G$62</definedName>
    <definedName name="QB_ROW_1260" localSheetId="8" hidden="1">'Working Copy 050522'!$G$60</definedName>
    <definedName name="QB_ROW_1260" localSheetId="6" hidden="1">'Working Copy 061422'!$G$62</definedName>
    <definedName name="QB_ROW_1260" localSheetId="3" hidden="1">'Working Copy 071222'!$G$62</definedName>
    <definedName name="QB_ROW_13250" localSheetId="10" hidden="1">'060421 For Trustees Prior Year '!$E$19</definedName>
    <definedName name="QB_ROW_13250" localSheetId="9" hidden="1">'Ad Downloaded 042822'!$F$20</definedName>
    <definedName name="QB_ROW_13250" localSheetId="1" hidden="1">'App Bud for Input'!$F$20</definedName>
    <definedName name="QB_ROW_13250" localSheetId="0" hidden="1">'Approved Budget'!$F$20</definedName>
    <definedName name="QB_ROW_13250" localSheetId="5" hidden="1">'For Trustee 061422'!$F$20</definedName>
    <definedName name="QB_ROW_13250" localSheetId="7" hidden="1">'For Trustees 050522'!$F$20</definedName>
    <definedName name="QB_ROW_13250" localSheetId="2" hidden="1">'For Trustees 071222 '!$F$20</definedName>
    <definedName name="QB_ROW_13250" localSheetId="8" hidden="1">'Working Copy 050522'!$F$20</definedName>
    <definedName name="QB_ROW_13250" localSheetId="6" hidden="1">'Working Copy 061422'!$F$20</definedName>
    <definedName name="QB_ROW_13250" localSheetId="3" hidden="1">'Working Copy 071222'!$F$20</definedName>
    <definedName name="QB_ROW_142260" localSheetId="10" hidden="1">'060421 For Trustees Prior Year '!$F$152</definedName>
    <definedName name="QB_ROW_142260" localSheetId="9" hidden="1">'Ad Downloaded 042822'!$G$119</definedName>
    <definedName name="QB_ROW_142260" localSheetId="1" hidden="1">'App Bud for Input'!$G$152</definedName>
    <definedName name="QB_ROW_142260" localSheetId="0" hidden="1">'Approved Budget'!$G$152</definedName>
    <definedName name="QB_ROW_142260" localSheetId="5" hidden="1">'For Trustee 061422'!$G$152</definedName>
    <definedName name="QB_ROW_142260" localSheetId="7" hidden="1">'For Trustees 050522'!$G$152</definedName>
    <definedName name="QB_ROW_142260" localSheetId="2" hidden="1">'For Trustees 071222 '!$G$152</definedName>
    <definedName name="QB_ROW_142260" localSheetId="8" hidden="1">'Working Copy 050522'!$G$124</definedName>
    <definedName name="QB_ROW_142260" localSheetId="6" hidden="1">'Working Copy 061422'!$G$152</definedName>
    <definedName name="QB_ROW_142260" localSheetId="3" hidden="1">'Working Copy 071222'!$G$152</definedName>
    <definedName name="QB_ROW_14250" localSheetId="10" hidden="1">'060421 For Trustees Prior Year '!$E$23</definedName>
    <definedName name="QB_ROW_14250" localSheetId="9" hidden="1">'Ad Downloaded 042822'!$F$24</definedName>
    <definedName name="QB_ROW_14250" localSheetId="1" hidden="1">'App Bud for Input'!$F$24</definedName>
    <definedName name="QB_ROW_14250" localSheetId="0" hidden="1">'Approved Budget'!$F$24</definedName>
    <definedName name="QB_ROW_14250" localSheetId="5" hidden="1">'For Trustee 061422'!$F$24</definedName>
    <definedName name="QB_ROW_14250" localSheetId="7" hidden="1">'For Trustees 050522'!$F$24</definedName>
    <definedName name="QB_ROW_14250" localSheetId="2" hidden="1">'For Trustees 071222 '!$F$24</definedName>
    <definedName name="QB_ROW_14250" localSheetId="8" hidden="1">'Working Copy 050522'!$F$24</definedName>
    <definedName name="QB_ROW_14250" localSheetId="6" hidden="1">'Working Copy 061422'!$F$24</definedName>
    <definedName name="QB_ROW_14250" localSheetId="3" hidden="1">'Working Copy 071222'!$F$24</definedName>
    <definedName name="QB_ROW_143250" localSheetId="10" hidden="1">'060421 For Trustees Prior Year '!$E$20</definedName>
    <definedName name="QB_ROW_143250" localSheetId="9" hidden="1">'Ad Downloaded 042822'!$F$21</definedName>
    <definedName name="QB_ROW_143250" localSheetId="1" hidden="1">'App Bud for Input'!$F$21</definedName>
    <definedName name="QB_ROW_143250" localSheetId="0" hidden="1">'Approved Budget'!$F$21</definedName>
    <definedName name="QB_ROW_143250" localSheetId="5" hidden="1">'For Trustee 061422'!$F$21</definedName>
    <definedName name="QB_ROW_143250" localSheetId="7" hidden="1">'For Trustees 050522'!$F$21</definedName>
    <definedName name="QB_ROW_143250" localSheetId="2" hidden="1">'For Trustees 071222 '!$F$21</definedName>
    <definedName name="QB_ROW_143250" localSheetId="8" hidden="1">'Working Copy 050522'!$F$21</definedName>
    <definedName name="QB_ROW_143250" localSheetId="6" hidden="1">'Working Copy 061422'!$F$21</definedName>
    <definedName name="QB_ROW_143250" localSheetId="3" hidden="1">'Working Copy 071222'!$F$21</definedName>
    <definedName name="QB_ROW_146250" localSheetId="10" hidden="1">'060421 For Trustees Prior Year '!$E$18</definedName>
    <definedName name="QB_ROW_146250" localSheetId="9" hidden="1">'Ad Downloaded 042822'!$F$19</definedName>
    <definedName name="QB_ROW_146250" localSheetId="1" hidden="1">'App Bud for Input'!$F$19</definedName>
    <definedName name="QB_ROW_146250" localSheetId="0" hidden="1">'Approved Budget'!$F$19</definedName>
    <definedName name="QB_ROW_146250" localSheetId="5" hidden="1">'For Trustee 061422'!$F$19</definedName>
    <definedName name="QB_ROW_146250" localSheetId="7" hidden="1">'For Trustees 050522'!$F$19</definedName>
    <definedName name="QB_ROW_146250" localSheetId="2" hidden="1">'For Trustees 071222 '!$F$19</definedName>
    <definedName name="QB_ROW_146250" localSheetId="8" hidden="1">'Working Copy 050522'!$F$19</definedName>
    <definedName name="QB_ROW_146250" localSheetId="6" hidden="1">'Working Copy 061422'!$F$19</definedName>
    <definedName name="QB_ROW_146250" localSheetId="3" hidden="1">'Working Copy 071222'!$F$19</definedName>
    <definedName name="QB_ROW_150230" localSheetId="9" hidden="1">'Ad Downloaded 042822'!$D$140</definedName>
    <definedName name="QB_ROW_150230" localSheetId="1" hidden="1">'App Bud for Input'!$D$181</definedName>
    <definedName name="QB_ROW_150230" localSheetId="0" hidden="1">'Approved Budget'!$D$181</definedName>
    <definedName name="QB_ROW_150230" localSheetId="5" hidden="1">'For Trustee 061422'!$D$181</definedName>
    <definedName name="QB_ROW_150230" localSheetId="7" hidden="1">'For Trustees 050522'!$D$181</definedName>
    <definedName name="QB_ROW_150230" localSheetId="2" hidden="1">'For Trustees 071222 '!$D$181</definedName>
    <definedName name="QB_ROW_150230" localSheetId="8" hidden="1">'Working Copy 050522'!$D$153</definedName>
    <definedName name="QB_ROW_150230" localSheetId="6" hidden="1">'Working Copy 061422'!$D$181</definedName>
    <definedName name="QB_ROW_150230" localSheetId="3" hidden="1">'Working Copy 071222'!$D$181</definedName>
    <definedName name="QB_ROW_154260" localSheetId="10" hidden="1">'060421 For Trustees Prior Year '!$F$46</definedName>
    <definedName name="QB_ROW_154260" localSheetId="9" hidden="1">'Ad Downloaded 042822'!$G$45</definedName>
    <definedName name="QB_ROW_154260" localSheetId="1" hidden="1">'App Bud for Input'!$G$46</definedName>
    <definedName name="QB_ROW_154260" localSheetId="0" hidden="1">'Approved Budget'!$G$46</definedName>
    <definedName name="QB_ROW_154260" localSheetId="5" hidden="1">'For Trustee 061422'!$G$46</definedName>
    <definedName name="QB_ROW_154260" localSheetId="7" hidden="1">'For Trustees 050522'!$G$46</definedName>
    <definedName name="QB_ROW_154260" localSheetId="2" hidden="1">'For Trustees 071222 '!$G$46</definedName>
    <definedName name="QB_ROW_154260" localSheetId="8" hidden="1">'Working Copy 050522'!$G$46</definedName>
    <definedName name="QB_ROW_154260" localSheetId="6" hidden="1">'Working Copy 061422'!$G$46</definedName>
    <definedName name="QB_ROW_154260" localSheetId="3" hidden="1">'Working Copy 071222'!$G$46</definedName>
    <definedName name="QB_ROW_155260" localSheetId="10" hidden="1">'060421 For Trustees Prior Year '!$F$60</definedName>
    <definedName name="QB_ROW_155260" localSheetId="9" hidden="1">'Ad Downloaded 042822'!$G$60</definedName>
    <definedName name="QB_ROW_155260" localSheetId="1" hidden="1">'App Bud for Input'!$G$63</definedName>
    <definedName name="QB_ROW_155260" localSheetId="0" hidden="1">'Approved Budget'!$G$63</definedName>
    <definedName name="QB_ROW_155260" localSheetId="5" hidden="1">'For Trustee 061422'!$G$63</definedName>
    <definedName name="QB_ROW_155260" localSheetId="7" hidden="1">'For Trustees 050522'!$G$63</definedName>
    <definedName name="QB_ROW_155260" localSheetId="2" hidden="1">'For Trustees 071222 '!$G$63</definedName>
    <definedName name="QB_ROW_155260" localSheetId="8" hidden="1">'Working Copy 050522'!$G$61</definedName>
    <definedName name="QB_ROW_155260" localSheetId="6" hidden="1">'Working Copy 061422'!$G$63</definedName>
    <definedName name="QB_ROW_155260" localSheetId="3" hidden="1">'Working Copy 071222'!$G$63</definedName>
    <definedName name="QB_ROW_159260" localSheetId="10" hidden="1">'060421 For Trustees Prior Year '!$F$93</definedName>
    <definedName name="QB_ROW_159260" localSheetId="9" hidden="1">'Ad Downloaded 042822'!$G$74</definedName>
    <definedName name="QB_ROW_159260" localSheetId="1" hidden="1">'App Bud for Input'!$G$93</definedName>
    <definedName name="QB_ROW_159260" localSheetId="0" hidden="1">'Approved Budget'!$G$93</definedName>
    <definedName name="QB_ROW_159260" localSheetId="5" hidden="1">'For Trustee 061422'!$G$93</definedName>
    <definedName name="QB_ROW_159260" localSheetId="7" hidden="1">'For Trustees 050522'!$G$93</definedName>
    <definedName name="QB_ROW_159260" localSheetId="2" hidden="1">'For Trustees 071222 '!$G$93</definedName>
    <definedName name="QB_ROW_159260" localSheetId="8" hidden="1">'Working Copy 050522'!$G$76</definedName>
    <definedName name="QB_ROW_159260" localSheetId="6" hidden="1">'Working Copy 061422'!$G$93</definedName>
    <definedName name="QB_ROW_159260" localSheetId="3" hidden="1">'Working Copy 071222'!$G$93</definedName>
    <definedName name="QB_ROW_160260" localSheetId="10" hidden="1">'060421 For Trustees Prior Year '!$F$99</definedName>
    <definedName name="QB_ROW_160260" localSheetId="9" hidden="1">'Ad Downloaded 042822'!$G$80</definedName>
    <definedName name="QB_ROW_160260" localSheetId="1" hidden="1">'App Bud for Input'!$G$99</definedName>
    <definedName name="QB_ROW_160260" localSheetId="0" hidden="1">'Approved Budget'!$G$99</definedName>
    <definedName name="QB_ROW_160260" localSheetId="5" hidden="1">'For Trustee 061422'!$G$99</definedName>
    <definedName name="QB_ROW_160260" localSheetId="7" hidden="1">'For Trustees 050522'!$G$99</definedName>
    <definedName name="QB_ROW_160260" localSheetId="2" hidden="1">'For Trustees 071222 '!$G$99</definedName>
    <definedName name="QB_ROW_160260" localSheetId="8" hidden="1">'Working Copy 050522'!$G$82</definedName>
    <definedName name="QB_ROW_160260" localSheetId="6" hidden="1">'Working Copy 061422'!$G$99</definedName>
    <definedName name="QB_ROW_160260" localSheetId="3" hidden="1">'Working Copy 071222'!$G$99</definedName>
    <definedName name="QB_ROW_161250" localSheetId="10" hidden="1">'060421 For Trustees Prior Year '!$E$9</definedName>
    <definedName name="QB_ROW_161250" localSheetId="9" hidden="1">'Ad Downloaded 042822'!$F$10</definedName>
    <definedName name="QB_ROW_161250" localSheetId="1" hidden="1">'App Bud for Input'!$F$10</definedName>
    <definedName name="QB_ROW_161250" localSheetId="0" hidden="1">'Approved Budget'!$F$10</definedName>
    <definedName name="QB_ROW_161250" localSheetId="5" hidden="1">'For Trustee 061422'!$F$10</definedName>
    <definedName name="QB_ROW_161250" localSheetId="7" hidden="1">'For Trustees 050522'!$F$10</definedName>
    <definedName name="QB_ROW_161250" localSheetId="2" hidden="1">'For Trustees 071222 '!$F$10</definedName>
    <definedName name="QB_ROW_161250" localSheetId="8" hidden="1">'Working Copy 050522'!$F$10</definedName>
    <definedName name="QB_ROW_161250" localSheetId="6" hidden="1">'Working Copy 061422'!$F$10</definedName>
    <definedName name="QB_ROW_161250" localSheetId="3" hidden="1">'Working Copy 071222'!$F$10</definedName>
    <definedName name="QB_ROW_164250" localSheetId="10" hidden="1">'060421 For Trustees Prior Year '!$E$12</definedName>
    <definedName name="QB_ROW_164250" localSheetId="9" hidden="1">'Ad Downloaded 042822'!$F$13</definedName>
    <definedName name="QB_ROW_164250" localSheetId="1" hidden="1">'App Bud for Input'!$F$13</definedName>
    <definedName name="QB_ROW_164250" localSheetId="0" hidden="1">'Approved Budget'!$F$13</definedName>
    <definedName name="QB_ROW_164250" localSheetId="5" hidden="1">'For Trustee 061422'!$F$13</definedName>
    <definedName name="QB_ROW_164250" localSheetId="7" hidden="1">'For Trustees 050522'!$F$13</definedName>
    <definedName name="QB_ROW_164250" localSheetId="2" hidden="1">'For Trustees 071222 '!$F$13</definedName>
    <definedName name="QB_ROW_164250" localSheetId="8" hidden="1">'Working Copy 050522'!$F$13</definedName>
    <definedName name="QB_ROW_164250" localSheetId="6" hidden="1">'Working Copy 061422'!$F$13</definedName>
    <definedName name="QB_ROW_164250" localSheetId="3" hidden="1">'Working Copy 071222'!$F$13</definedName>
    <definedName name="QB_ROW_165260" localSheetId="10" hidden="1">'060421 For Trustees Prior Year '!$F$66</definedName>
    <definedName name="QB_ROW_165260" localSheetId="9" hidden="1">'Ad Downloaded 042822'!$G$65</definedName>
    <definedName name="QB_ROW_165260" localSheetId="1" hidden="1">'App Bud for Input'!$G$69</definedName>
    <definedName name="QB_ROW_165260" localSheetId="0" hidden="1">'Approved Budget'!$G$69</definedName>
    <definedName name="QB_ROW_165260" localSheetId="5" hidden="1">'For Trustee 061422'!$G$69</definedName>
    <definedName name="QB_ROW_165260" localSheetId="7" hidden="1">'For Trustees 050522'!$G$69</definedName>
    <definedName name="QB_ROW_165260" localSheetId="2" hidden="1">'For Trustees 071222 '!$G$69</definedName>
    <definedName name="QB_ROW_165260" localSheetId="8" hidden="1">'Working Copy 050522'!$G$67</definedName>
    <definedName name="QB_ROW_165260" localSheetId="6" hidden="1">'Working Copy 061422'!$G$69</definedName>
    <definedName name="QB_ROW_165260" localSheetId="3" hidden="1">'Working Copy 071222'!$G$69</definedName>
    <definedName name="QB_ROW_166260" localSheetId="10" hidden="1">'060421 For Trustees Prior Year '!$F$45</definedName>
    <definedName name="QB_ROW_166260" localSheetId="9" hidden="1">'Ad Downloaded 042822'!$G$43</definedName>
    <definedName name="QB_ROW_166260" localSheetId="1" hidden="1">'App Bud for Input'!$G$44</definedName>
    <definedName name="QB_ROW_166260" localSheetId="0" hidden="1">'Approved Budget'!$G$44</definedName>
    <definedName name="QB_ROW_166260" localSheetId="5" hidden="1">'For Trustee 061422'!$G$44</definedName>
    <definedName name="QB_ROW_166260" localSheetId="7" hidden="1">'For Trustees 050522'!$G$44</definedName>
    <definedName name="QB_ROW_166260" localSheetId="2" hidden="1">'For Trustees 071222 '!$G$44</definedName>
    <definedName name="QB_ROW_166260" localSheetId="8" hidden="1">'Working Copy 050522'!$G$44</definedName>
    <definedName name="QB_ROW_166260" localSheetId="6" hidden="1">'Working Copy 061422'!$G$44</definedName>
    <definedName name="QB_ROW_166260" localSheetId="3" hidden="1">'Working Copy 071222'!$G$44</definedName>
    <definedName name="QB_ROW_168240" localSheetId="10" hidden="1">'060421 For Trustees Prior Year '!$D$36</definedName>
    <definedName name="QB_ROW_168240" localSheetId="9" hidden="1">'Ad Downloaded 042822'!$E$36</definedName>
    <definedName name="QB_ROW_168240" localSheetId="1" hidden="1">'App Bud for Input'!$E$37</definedName>
    <definedName name="QB_ROW_168240" localSheetId="0" hidden="1">'Approved Budget'!$E$37</definedName>
    <definedName name="QB_ROW_168240" localSheetId="5" hidden="1">'For Trustee 061422'!$E$37</definedName>
    <definedName name="QB_ROW_168240" localSheetId="7" hidden="1">'For Trustees 050522'!$E$37</definedName>
    <definedName name="QB_ROW_168240" localSheetId="2" hidden="1">'For Trustees 071222 '!$E$37</definedName>
    <definedName name="QB_ROW_168240" localSheetId="8" hidden="1">'Working Copy 050522'!$E$37</definedName>
    <definedName name="QB_ROW_168240" localSheetId="6" hidden="1">'Working Copy 061422'!$E$37</definedName>
    <definedName name="QB_ROW_168240" localSheetId="3" hidden="1">'Working Copy 071222'!$E$37</definedName>
    <definedName name="QB_ROW_171040" localSheetId="10" hidden="1">'060421 For Trustees Prior Year '!$D$4</definedName>
    <definedName name="QB_ROW_171040" localSheetId="9" hidden="1">'Ad Downloaded 042822'!$E$4</definedName>
    <definedName name="QB_ROW_171040" localSheetId="1" hidden="1">'App Bud for Input'!$E$4</definedName>
    <definedName name="QB_ROW_171040" localSheetId="0" hidden="1">'Approved Budget'!$E$4</definedName>
    <definedName name="QB_ROW_171040" localSheetId="5" hidden="1">'For Trustee 061422'!$E$4</definedName>
    <definedName name="QB_ROW_171040" localSheetId="7" hidden="1">'For Trustees 050522'!$E$4</definedName>
    <definedName name="QB_ROW_171040" localSheetId="2" hidden="1">'For Trustees 071222 '!$E$4</definedName>
    <definedName name="QB_ROW_171040" localSheetId="8" hidden="1">'Working Copy 050522'!$E$4</definedName>
    <definedName name="QB_ROW_171040" localSheetId="6" hidden="1">'Working Copy 061422'!$E$4</definedName>
    <definedName name="QB_ROW_171040" localSheetId="3" hidden="1">'Working Copy 071222'!$E$4</definedName>
    <definedName name="QB_ROW_171340" localSheetId="10" hidden="1">'060421 For Trustees Prior Year '!$D$14</definedName>
    <definedName name="QB_ROW_171340" localSheetId="9" hidden="1">'Ad Downloaded 042822'!$E$15</definedName>
    <definedName name="QB_ROW_171340" localSheetId="1" hidden="1">'App Bud for Input'!$E$15</definedName>
    <definedName name="QB_ROW_171340" localSheetId="0" hidden="1">'Approved Budget'!$E$15</definedName>
    <definedName name="QB_ROW_171340" localSheetId="5" hidden="1">'For Trustee 061422'!$E$15</definedName>
    <definedName name="QB_ROW_171340" localSheetId="7" hidden="1">'For Trustees 050522'!$E$15</definedName>
    <definedName name="QB_ROW_171340" localSheetId="2" hidden="1">'For Trustees 071222 '!$E$15</definedName>
    <definedName name="QB_ROW_171340" localSheetId="8" hidden="1">'Working Copy 050522'!$E$15</definedName>
    <definedName name="QB_ROW_171340" localSheetId="6" hidden="1">'Working Copy 061422'!$E$15</definedName>
    <definedName name="QB_ROW_171340" localSheetId="3" hidden="1">'Working Copy 071222'!$E$15</definedName>
    <definedName name="QB_ROW_172040" localSheetId="10" hidden="1">'060421 For Trustees Prior Year '!$D$22</definedName>
    <definedName name="QB_ROW_172040" localSheetId="9" hidden="1">'Ad Downloaded 042822'!$E$23</definedName>
    <definedName name="QB_ROW_172040" localSheetId="1" hidden="1">'App Bud for Input'!$E$23</definedName>
    <definedName name="QB_ROW_172040" localSheetId="0" hidden="1">'Approved Budget'!$E$23</definedName>
    <definedName name="QB_ROW_172040" localSheetId="5" hidden="1">'For Trustee 061422'!$E$23</definedName>
    <definedName name="QB_ROW_172040" localSheetId="7" hidden="1">'For Trustees 050522'!$E$23</definedName>
    <definedName name="QB_ROW_172040" localSheetId="2" hidden="1">'For Trustees 071222 '!$E$23</definedName>
    <definedName name="QB_ROW_172040" localSheetId="8" hidden="1">'Working Copy 050522'!$E$23</definedName>
    <definedName name="QB_ROW_172040" localSheetId="6" hidden="1">'Working Copy 061422'!$E$23</definedName>
    <definedName name="QB_ROW_172040" localSheetId="3" hidden="1">'Working Copy 071222'!$E$23</definedName>
    <definedName name="QB_ROW_172340" localSheetId="10" hidden="1">'060421 For Trustees Prior Year '!$D$33</definedName>
    <definedName name="QB_ROW_172340" localSheetId="9" hidden="1">'Ad Downloaded 042822'!$E$33</definedName>
    <definedName name="QB_ROW_172340" localSheetId="1" hidden="1">'App Bud for Input'!$E$34</definedName>
    <definedName name="QB_ROW_172340" localSheetId="0" hidden="1">'Approved Budget'!$E$34</definedName>
    <definedName name="QB_ROW_172340" localSheetId="5" hidden="1">'For Trustee 061422'!$E$34</definedName>
    <definedName name="QB_ROW_172340" localSheetId="7" hidden="1">'For Trustees 050522'!$E$34</definedName>
    <definedName name="QB_ROW_172340" localSheetId="2" hidden="1">'For Trustees 071222 '!$E$34</definedName>
    <definedName name="QB_ROW_172340" localSheetId="8" hidden="1">'Working Copy 050522'!$E$34</definedName>
    <definedName name="QB_ROW_172340" localSheetId="6" hidden="1">'Working Copy 061422'!$E$34</definedName>
    <definedName name="QB_ROW_172340" localSheetId="3" hidden="1">'Working Copy 071222'!$E$34</definedName>
    <definedName name="QB_ROW_173050" localSheetId="10" hidden="1">'060421 For Trustees Prior Year '!$E$41</definedName>
    <definedName name="QB_ROW_173050" localSheetId="9" hidden="1">'Ad Downloaded 042822'!$F$41</definedName>
    <definedName name="QB_ROW_173050" localSheetId="1" hidden="1">'App Bud for Input'!$F$42</definedName>
    <definedName name="QB_ROW_173050" localSheetId="0" hidden="1">'Approved Budget'!$F$42</definedName>
    <definedName name="QB_ROW_173050" localSheetId="5" hidden="1">'For Trustee 061422'!$F$42</definedName>
    <definedName name="QB_ROW_173050" localSheetId="7" hidden="1">'For Trustees 050522'!$F$42</definedName>
    <definedName name="QB_ROW_173050" localSheetId="2" hidden="1">'For Trustees 071222 '!$F$42</definedName>
    <definedName name="QB_ROW_173050" localSheetId="8" hidden="1">'Working Copy 050522'!$F$42</definedName>
    <definedName name="QB_ROW_173050" localSheetId="6" hidden="1">'Working Copy 061422'!$F$42</definedName>
    <definedName name="QB_ROW_173050" localSheetId="3" hidden="1">'Working Copy 071222'!$F$42</definedName>
    <definedName name="QB_ROW_173350" localSheetId="10" hidden="1">'060421 For Trustees Prior Year '!$E$47</definedName>
    <definedName name="QB_ROW_173350" localSheetId="9" hidden="1">'Ad Downloaded 042822'!$F$46</definedName>
    <definedName name="QB_ROW_173350" localSheetId="1" hidden="1">'App Bud for Input'!$F$47</definedName>
    <definedName name="QB_ROW_173350" localSheetId="0" hidden="1">'Approved Budget'!$F$47</definedName>
    <definedName name="QB_ROW_173350" localSheetId="5" hidden="1">'For Trustee 061422'!$F$47</definedName>
    <definedName name="QB_ROW_173350" localSheetId="7" hidden="1">'For Trustees 050522'!$F$47</definedName>
    <definedName name="QB_ROW_173350" localSheetId="2" hidden="1">'For Trustees 071222 '!$F$47</definedName>
    <definedName name="QB_ROW_173350" localSheetId="8" hidden="1">'Working Copy 050522'!$F$47</definedName>
    <definedName name="QB_ROW_173350" localSheetId="6" hidden="1">'Working Copy 061422'!$F$47</definedName>
    <definedName name="QB_ROW_173350" localSheetId="3" hidden="1">'Working Copy 071222'!$F$47</definedName>
    <definedName name="QB_ROW_175050" localSheetId="9" hidden="1">'Ad Downloaded 042822'!$F$47</definedName>
    <definedName name="QB_ROW_175050" localSheetId="1" hidden="1">'App Bud for Input'!$F$50</definedName>
    <definedName name="QB_ROW_175050" localSheetId="0" hidden="1">'Approved Budget'!$F$50</definedName>
    <definedName name="QB_ROW_175050" localSheetId="5" hidden="1">'For Trustee 061422'!$F$50</definedName>
    <definedName name="QB_ROW_175050" localSheetId="7" hidden="1">'For Trustees 050522'!$F$50</definedName>
    <definedName name="QB_ROW_175050" localSheetId="2" hidden="1">'For Trustees 071222 '!$F$50</definedName>
    <definedName name="QB_ROW_175050" localSheetId="8" hidden="1">'Working Copy 050522'!$F$48</definedName>
    <definedName name="QB_ROW_175050" localSheetId="6" hidden="1">'Working Copy 061422'!$F$50</definedName>
    <definedName name="QB_ROW_175050" localSheetId="3" hidden="1">'Working Copy 071222'!$F$50</definedName>
    <definedName name="QB_ROW_175350" localSheetId="9" hidden="1">'Ad Downloaded 042822'!$F$49</definedName>
    <definedName name="QB_ROW_175350" localSheetId="1" hidden="1">'App Bud for Input'!$F$52</definedName>
    <definedName name="QB_ROW_175350" localSheetId="0" hidden="1">'Approved Budget'!$F$52</definedName>
    <definedName name="QB_ROW_175350" localSheetId="5" hidden="1">'For Trustee 061422'!$F$52</definedName>
    <definedName name="QB_ROW_175350" localSheetId="7" hidden="1">'For Trustees 050522'!$F$52</definedName>
    <definedName name="QB_ROW_175350" localSheetId="2" hidden="1">'For Trustees 071222 '!$F$52</definedName>
    <definedName name="QB_ROW_175350" localSheetId="8" hidden="1">'Working Copy 050522'!$F$50</definedName>
    <definedName name="QB_ROW_175350" localSheetId="6" hidden="1">'Working Copy 061422'!$F$52</definedName>
    <definedName name="QB_ROW_175350" localSheetId="3" hidden="1">'Working Copy 071222'!$F$52</definedName>
    <definedName name="QB_ROW_177050" localSheetId="10" hidden="1">'060421 For Trustees Prior Year '!$E$50</definedName>
    <definedName name="QB_ROW_177050" localSheetId="9" hidden="1">'Ad Downloaded 042822'!$F$50</definedName>
    <definedName name="QB_ROW_177050" localSheetId="1" hidden="1">'App Bud for Input'!$F$53</definedName>
    <definedName name="QB_ROW_177050" localSheetId="0" hidden="1">'Approved Budget'!$F$53</definedName>
    <definedName name="QB_ROW_177050" localSheetId="5" hidden="1">'For Trustee 061422'!$F$53</definedName>
    <definedName name="QB_ROW_177050" localSheetId="7" hidden="1">'For Trustees 050522'!$F$53</definedName>
    <definedName name="QB_ROW_177050" localSheetId="2" hidden="1">'For Trustees 071222 '!$F$53</definedName>
    <definedName name="QB_ROW_177050" localSheetId="8" hidden="1">'Working Copy 050522'!$F$51</definedName>
    <definedName name="QB_ROW_177050" localSheetId="6" hidden="1">'Working Copy 061422'!$F$53</definedName>
    <definedName name="QB_ROW_177050" localSheetId="3" hidden="1">'Working Copy 071222'!$F$53</definedName>
    <definedName name="QB_ROW_177350" localSheetId="10" hidden="1">'060421 For Trustees Prior Year '!$E$53</definedName>
    <definedName name="QB_ROW_177350" localSheetId="9" hidden="1">'Ad Downloaded 042822'!$F$53</definedName>
    <definedName name="QB_ROW_177350" localSheetId="1" hidden="1">'App Bud for Input'!$F$56</definedName>
    <definedName name="QB_ROW_177350" localSheetId="0" hidden="1">'Approved Budget'!$F$56</definedName>
    <definedName name="QB_ROW_177350" localSheetId="5" hidden="1">'For Trustee 061422'!$F$56</definedName>
    <definedName name="QB_ROW_177350" localSheetId="7" hidden="1">'For Trustees 050522'!$F$56</definedName>
    <definedName name="QB_ROW_177350" localSheetId="2" hidden="1">'For Trustees 071222 '!$F$56</definedName>
    <definedName name="QB_ROW_177350" localSheetId="8" hidden="1">'Working Copy 050522'!$F$54</definedName>
    <definedName name="QB_ROW_177350" localSheetId="6" hidden="1">'Working Copy 061422'!$F$56</definedName>
    <definedName name="QB_ROW_177350" localSheetId="3" hidden="1">'Working Copy 071222'!$F$56</definedName>
    <definedName name="QB_ROW_178050" localSheetId="10" hidden="1">'060421 For Trustees Prior Year '!$E$54</definedName>
    <definedName name="QB_ROW_178050" localSheetId="9" hidden="1">'Ad Downloaded 042822'!$F$54</definedName>
    <definedName name="QB_ROW_178050" localSheetId="1" hidden="1">'App Bud for Input'!$F$57</definedName>
    <definedName name="QB_ROW_178050" localSheetId="0" hidden="1">'Approved Budget'!$F$57</definedName>
    <definedName name="QB_ROW_178050" localSheetId="5" hidden="1">'For Trustee 061422'!$F$57</definedName>
    <definedName name="QB_ROW_178050" localSheetId="7" hidden="1">'For Trustees 050522'!$F$57</definedName>
    <definedName name="QB_ROW_178050" localSheetId="2" hidden="1">'For Trustees 071222 '!$F$57</definedName>
    <definedName name="QB_ROW_178050" localSheetId="8" hidden="1">'Working Copy 050522'!$F$55</definedName>
    <definedName name="QB_ROW_178050" localSheetId="6" hidden="1">'Working Copy 061422'!$F$57</definedName>
    <definedName name="QB_ROW_178050" localSheetId="3" hidden="1">'Working Copy 071222'!$F$57</definedName>
    <definedName name="QB_ROW_178350" localSheetId="10" hidden="1">'060421 For Trustees Prior Year '!$E$57</definedName>
    <definedName name="QB_ROW_178350" localSheetId="9" hidden="1">'Ad Downloaded 042822'!$F$57</definedName>
    <definedName name="QB_ROW_178350" localSheetId="1" hidden="1">'App Bud for Input'!$F$60</definedName>
    <definedName name="QB_ROW_178350" localSheetId="0" hidden="1">'Approved Budget'!$F$60</definedName>
    <definedName name="QB_ROW_178350" localSheetId="5" hidden="1">'For Trustee 061422'!$F$60</definedName>
    <definedName name="QB_ROW_178350" localSheetId="7" hidden="1">'For Trustees 050522'!$F$60</definedName>
    <definedName name="QB_ROW_178350" localSheetId="2" hidden="1">'For Trustees 071222 '!$F$60</definedName>
    <definedName name="QB_ROW_178350" localSheetId="8" hidden="1">'Working Copy 050522'!$F$58</definedName>
    <definedName name="QB_ROW_178350" localSheetId="6" hidden="1">'Working Copy 061422'!$F$60</definedName>
    <definedName name="QB_ROW_178350" localSheetId="3" hidden="1">'Working Copy 071222'!$F$60</definedName>
    <definedName name="QB_ROW_179050" localSheetId="10" hidden="1">'060421 For Trustees Prior Year '!$E$58</definedName>
    <definedName name="QB_ROW_179050" localSheetId="9" hidden="1">'Ad Downloaded 042822'!$F$58</definedName>
    <definedName name="QB_ROW_179050" localSheetId="1" hidden="1">'App Bud for Input'!$F$61</definedName>
    <definedName name="QB_ROW_179050" localSheetId="0" hidden="1">'Approved Budget'!$F$61</definedName>
    <definedName name="QB_ROW_179050" localSheetId="5" hidden="1">'For Trustee 061422'!$F$61</definedName>
    <definedName name="QB_ROW_179050" localSheetId="7" hidden="1">'For Trustees 050522'!$F$61</definedName>
    <definedName name="QB_ROW_179050" localSheetId="2" hidden="1">'For Trustees 071222 '!$F$61</definedName>
    <definedName name="QB_ROW_179050" localSheetId="8" hidden="1">'Working Copy 050522'!$F$59</definedName>
    <definedName name="QB_ROW_179050" localSheetId="6" hidden="1">'Working Copy 061422'!$F$61</definedName>
    <definedName name="QB_ROW_179050" localSheetId="3" hidden="1">'Working Copy 071222'!$F$61</definedName>
    <definedName name="QB_ROW_179350" localSheetId="10" hidden="1">'060421 For Trustees Prior Year '!$E$62</definedName>
    <definedName name="QB_ROW_179350" localSheetId="9" hidden="1">'Ad Downloaded 042822'!$F$62</definedName>
    <definedName name="QB_ROW_179350" localSheetId="1" hidden="1">'App Bud for Input'!$F$65</definedName>
    <definedName name="QB_ROW_179350" localSheetId="0" hidden="1">'Approved Budget'!$F$65</definedName>
    <definedName name="QB_ROW_179350" localSheetId="5" hidden="1">'For Trustee 061422'!$F$65</definedName>
    <definedName name="QB_ROW_179350" localSheetId="7" hidden="1">'For Trustees 050522'!$F$65</definedName>
    <definedName name="QB_ROW_179350" localSheetId="2" hidden="1">'For Trustees 071222 '!$F$65</definedName>
    <definedName name="QB_ROW_179350" localSheetId="8" hidden="1">'Working Copy 050522'!$F$63</definedName>
    <definedName name="QB_ROW_179350" localSheetId="6" hidden="1">'Working Copy 061422'!$F$65</definedName>
    <definedName name="QB_ROW_179350" localSheetId="3" hidden="1">'Working Copy 071222'!$F$65</definedName>
    <definedName name="QB_ROW_180050" localSheetId="10" hidden="1">'060421 For Trustees Prior Year '!$E$63</definedName>
    <definedName name="QB_ROW_180050" localSheetId="9" hidden="1">'Ad Downloaded 042822'!$F$63</definedName>
    <definedName name="QB_ROW_180050" localSheetId="1" hidden="1">'App Bud for Input'!$F$66</definedName>
    <definedName name="QB_ROW_180050" localSheetId="0" hidden="1">'Approved Budget'!$F$66</definedName>
    <definedName name="QB_ROW_180050" localSheetId="5" hidden="1">'For Trustee 061422'!$F$66</definedName>
    <definedName name="QB_ROW_180050" localSheetId="7" hidden="1">'For Trustees 050522'!$F$66</definedName>
    <definedName name="QB_ROW_180050" localSheetId="2" hidden="1">'For Trustees 071222 '!$F$66</definedName>
    <definedName name="QB_ROW_180050" localSheetId="8" hidden="1">'Working Copy 050522'!$F$64</definedName>
    <definedName name="QB_ROW_180050" localSheetId="6" hidden="1">'Working Copy 061422'!$F$66</definedName>
    <definedName name="QB_ROW_180050" localSheetId="3" hidden="1">'Working Copy 071222'!$F$66</definedName>
    <definedName name="QB_ROW_180350" localSheetId="10" hidden="1">'060421 For Trustees Prior Year '!$E$67</definedName>
    <definedName name="QB_ROW_180350" localSheetId="9" hidden="1">'Ad Downloaded 042822'!$F$66</definedName>
    <definedName name="QB_ROW_180350" localSheetId="1" hidden="1">'App Bud for Input'!$F$70</definedName>
    <definedName name="QB_ROW_180350" localSheetId="0" hidden="1">'Approved Budget'!$F$70</definedName>
    <definedName name="QB_ROW_180350" localSheetId="5" hidden="1">'For Trustee 061422'!$F$70</definedName>
    <definedName name="QB_ROW_180350" localSheetId="7" hidden="1">'For Trustees 050522'!$F$70</definedName>
    <definedName name="QB_ROW_180350" localSheetId="2" hidden="1">'For Trustees 071222 '!$F$70</definedName>
    <definedName name="QB_ROW_180350" localSheetId="8" hidden="1">'Working Copy 050522'!$F$68</definedName>
    <definedName name="QB_ROW_180350" localSheetId="6" hidden="1">'Working Copy 061422'!$F$70</definedName>
    <definedName name="QB_ROW_180350" localSheetId="3" hidden="1">'Working Copy 071222'!$F$70</definedName>
    <definedName name="QB_ROW_181050" localSheetId="10" hidden="1">'060421 For Trustees Prior Year '!$E$136</definedName>
    <definedName name="QB_ROW_181050" localSheetId="9" hidden="1">'Ad Downloaded 042822'!$F$104</definedName>
    <definedName name="QB_ROW_181050" localSheetId="1" hidden="1">'App Bud for Input'!$F$136</definedName>
    <definedName name="QB_ROW_181050" localSheetId="0" hidden="1">'Approved Budget'!$F$136</definedName>
    <definedName name="QB_ROW_181050" localSheetId="5" hidden="1">'For Trustee 061422'!$F$136</definedName>
    <definedName name="QB_ROW_181050" localSheetId="7" hidden="1">'For Trustees 050522'!$F$136</definedName>
    <definedName name="QB_ROW_181050" localSheetId="2" hidden="1">'For Trustees 071222 '!$F$136</definedName>
    <definedName name="QB_ROW_181050" localSheetId="8" hidden="1">'Working Copy 050522'!$F$108</definedName>
    <definedName name="QB_ROW_181050" localSheetId="6" hidden="1">'Working Copy 061422'!$F$136</definedName>
    <definedName name="QB_ROW_181050" localSheetId="3" hidden="1">'Working Copy 071222'!$F$136</definedName>
    <definedName name="QB_ROW_181350" localSheetId="10" hidden="1">'060421 For Trustees Prior Year '!$E$148</definedName>
    <definedName name="QB_ROW_181350" localSheetId="9" hidden="1">'Ad Downloaded 042822'!$F$115</definedName>
    <definedName name="QB_ROW_181350" localSheetId="1" hidden="1">'App Bud for Input'!$F$148</definedName>
    <definedName name="QB_ROW_181350" localSheetId="0" hidden="1">'Approved Budget'!$F$148</definedName>
    <definedName name="QB_ROW_181350" localSheetId="5" hidden="1">'For Trustee 061422'!$F$148</definedName>
    <definedName name="QB_ROW_181350" localSheetId="7" hidden="1">'For Trustees 050522'!$F$148</definedName>
    <definedName name="QB_ROW_181350" localSheetId="2" hidden="1">'For Trustees 071222 '!$F$148</definedName>
    <definedName name="QB_ROW_181350" localSheetId="8" hidden="1">'Working Copy 050522'!$F$120</definedName>
    <definedName name="QB_ROW_181350" localSheetId="6" hidden="1">'Working Copy 061422'!$F$148</definedName>
    <definedName name="QB_ROW_181350" localSheetId="3" hidden="1">'Working Copy 071222'!$F$148</definedName>
    <definedName name="QB_ROW_182050" localSheetId="10" hidden="1">'060421 For Trustees Prior Year '!$E$92</definedName>
    <definedName name="QB_ROW_182050" localSheetId="9" hidden="1">'Ad Downloaded 042822'!$F$73</definedName>
    <definedName name="QB_ROW_182050" localSheetId="1" hidden="1">'App Bud for Input'!$F$92</definedName>
    <definedName name="QB_ROW_182050" localSheetId="0" hidden="1">'Approved Budget'!$F$92</definedName>
    <definedName name="QB_ROW_182050" localSheetId="5" hidden="1">'For Trustee 061422'!$F$92</definedName>
    <definedName name="QB_ROW_182050" localSheetId="7" hidden="1">'For Trustees 050522'!$F$92</definedName>
    <definedName name="QB_ROW_182050" localSheetId="2" hidden="1">'For Trustees 071222 '!$F$92</definedName>
    <definedName name="QB_ROW_182050" localSheetId="8" hidden="1">'Working Copy 050522'!$F$75</definedName>
    <definedName name="QB_ROW_182050" localSheetId="6" hidden="1">'Working Copy 061422'!$F$92</definedName>
    <definedName name="QB_ROW_182050" localSheetId="3" hidden="1">'Working Copy 071222'!$F$92</definedName>
    <definedName name="QB_ROW_182350" localSheetId="10" hidden="1">'060421 For Trustees Prior Year '!$E$124</definedName>
    <definedName name="QB_ROW_182350" localSheetId="9" hidden="1">'Ad Downloaded 042822'!$F$103</definedName>
    <definedName name="QB_ROW_182350" localSheetId="1" hidden="1">'App Bud for Input'!$F$124</definedName>
    <definedName name="QB_ROW_182350" localSheetId="0" hidden="1">'Approved Budget'!$F$124</definedName>
    <definedName name="QB_ROW_182350" localSheetId="5" hidden="1">'For Trustee 061422'!$F$124</definedName>
    <definedName name="QB_ROW_182350" localSheetId="7" hidden="1">'For Trustees 050522'!$F$124</definedName>
    <definedName name="QB_ROW_182350" localSheetId="2" hidden="1">'For Trustees 071222 '!$F$124</definedName>
    <definedName name="QB_ROW_182350" localSheetId="8" hidden="1">'Working Copy 050522'!$F$107</definedName>
    <definedName name="QB_ROW_182350" localSheetId="6" hidden="1">'Working Copy 061422'!$F$124</definedName>
    <definedName name="QB_ROW_182350" localSheetId="3" hidden="1">'Working Copy 071222'!$F$124</definedName>
    <definedName name="QB_ROW_18301" localSheetId="10" hidden="1">'060421 For Trustees Prior Year '!#REF!</definedName>
    <definedName name="QB_ROW_18301" localSheetId="9" hidden="1">'Ad Downloaded 042822'!$A$143</definedName>
    <definedName name="QB_ROW_18301" localSheetId="1" hidden="1">'App Bud for Input'!$A$184</definedName>
    <definedName name="QB_ROW_18301" localSheetId="0" hidden="1">'Approved Budget'!$A$184</definedName>
    <definedName name="QB_ROW_18301" localSheetId="5" hidden="1">'For Trustee 061422'!$A$184</definedName>
    <definedName name="QB_ROW_18301" localSheetId="7" hidden="1">'For Trustees 050522'!$A$184</definedName>
    <definedName name="QB_ROW_18301" localSheetId="2" hidden="1">'For Trustees 071222 '!$A$184</definedName>
    <definedName name="QB_ROW_18301" localSheetId="8" hidden="1">'Working Copy 050522'!$A$156</definedName>
    <definedName name="QB_ROW_18301" localSheetId="6" hidden="1">'Working Copy 061422'!$A$184</definedName>
    <definedName name="QB_ROW_18301" localSheetId="3" hidden="1">'Working Copy 071222'!$A$184</definedName>
    <definedName name="QB_ROW_183050" localSheetId="10" hidden="1">'060421 For Trustees Prior Year '!$E$70</definedName>
    <definedName name="QB_ROW_183050" localSheetId="9" hidden="1">'Ad Downloaded 042822'!$F$69</definedName>
    <definedName name="QB_ROW_183050" localSheetId="1" hidden="1">'App Bud for Input'!$F$73</definedName>
    <definedName name="QB_ROW_183050" localSheetId="0" hidden="1">'Approved Budget'!$F$73</definedName>
    <definedName name="QB_ROW_183050" localSheetId="5" hidden="1">'For Trustee 061422'!$F$73</definedName>
    <definedName name="QB_ROW_183050" localSheetId="7" hidden="1">'For Trustees 050522'!$F$73</definedName>
    <definedName name="QB_ROW_183050" localSheetId="2" hidden="1">'For Trustees 071222 '!$F$73</definedName>
    <definedName name="QB_ROW_183050" localSheetId="8" hidden="1">'Working Copy 050522'!$F$71</definedName>
    <definedName name="QB_ROW_183050" localSheetId="6" hidden="1">'Working Copy 061422'!$F$73</definedName>
    <definedName name="QB_ROW_183050" localSheetId="3" hidden="1">'Working Copy 071222'!$F$73</definedName>
    <definedName name="QB_ROW_183350" localSheetId="10" hidden="1">'060421 For Trustees Prior Year '!$E$73</definedName>
    <definedName name="QB_ROW_183350" localSheetId="9" hidden="1">'Ad Downloaded 042822'!$F$72</definedName>
    <definedName name="QB_ROW_183350" localSheetId="1" hidden="1">'App Bud for Input'!$F$76</definedName>
    <definedName name="QB_ROW_183350" localSheetId="0" hidden="1">'Approved Budget'!$F$76</definedName>
    <definedName name="QB_ROW_183350" localSheetId="5" hidden="1">'For Trustee 061422'!$F$76</definedName>
    <definedName name="QB_ROW_183350" localSheetId="7" hidden="1">'For Trustees 050522'!$F$76</definedName>
    <definedName name="QB_ROW_183350" localSheetId="2" hidden="1">'For Trustees 071222 '!$F$76</definedName>
    <definedName name="QB_ROW_183350" localSheetId="8" hidden="1">'Working Copy 050522'!$F$74</definedName>
    <definedName name="QB_ROW_183350" localSheetId="6" hidden="1">'Working Copy 061422'!$F$76</definedName>
    <definedName name="QB_ROW_183350" localSheetId="3" hidden="1">'Working Copy 071222'!$F$76</definedName>
    <definedName name="QB_ROW_186050" localSheetId="10" hidden="1">'060421 For Trustees Prior Year '!$E$151</definedName>
    <definedName name="QB_ROW_186050" localSheetId="9" hidden="1">'Ad Downloaded 042822'!$F$118</definedName>
    <definedName name="QB_ROW_186050" localSheetId="1" hidden="1">'App Bud for Input'!$F$151</definedName>
    <definedName name="QB_ROW_186050" localSheetId="0" hidden="1">'Approved Budget'!$F$151</definedName>
    <definedName name="QB_ROW_186050" localSheetId="5" hidden="1">'For Trustee 061422'!$F$151</definedName>
    <definedName name="QB_ROW_186050" localSheetId="7" hidden="1">'For Trustees 050522'!$F$151</definedName>
    <definedName name="QB_ROW_186050" localSheetId="2" hidden="1">'For Trustees 071222 '!$F$151</definedName>
    <definedName name="QB_ROW_186050" localSheetId="8" hidden="1">'Working Copy 050522'!$F$123</definedName>
    <definedName name="QB_ROW_186050" localSheetId="6" hidden="1">'Working Copy 061422'!$F$151</definedName>
    <definedName name="QB_ROW_186050" localSheetId="3" hidden="1">'Working Copy 071222'!$F$151</definedName>
    <definedName name="QB_ROW_186350" localSheetId="10" hidden="1">'060421 For Trustees Prior Year '!$E$153</definedName>
    <definedName name="QB_ROW_186350" localSheetId="9" hidden="1">'Ad Downloaded 042822'!$F$120</definedName>
    <definedName name="QB_ROW_186350" localSheetId="1" hidden="1">'App Bud for Input'!$F$153</definedName>
    <definedName name="QB_ROW_186350" localSheetId="0" hidden="1">'Approved Budget'!$F$153</definedName>
    <definedName name="QB_ROW_186350" localSheetId="5" hidden="1">'For Trustee 061422'!$F$153</definedName>
    <definedName name="QB_ROW_186350" localSheetId="7" hidden="1">'For Trustees 050522'!$F$153</definedName>
    <definedName name="QB_ROW_186350" localSheetId="2" hidden="1">'For Trustees 071222 '!$F$153</definedName>
    <definedName name="QB_ROW_186350" localSheetId="8" hidden="1">'Working Copy 050522'!$F$125</definedName>
    <definedName name="QB_ROW_186350" localSheetId="6" hidden="1">'Working Copy 061422'!$F$153</definedName>
    <definedName name="QB_ROW_186350" localSheetId="3" hidden="1">'Working Copy 071222'!$F$153</definedName>
    <definedName name="QB_ROW_187050" localSheetId="10" hidden="1">'060421 For Trustees Prior Year '!$E$163</definedName>
    <definedName name="QB_ROW_187050" localSheetId="9" hidden="1">'Ad Downloaded 042822'!$F$127</definedName>
    <definedName name="QB_ROW_187050" localSheetId="1" hidden="1">'App Bud for Input'!$F$163</definedName>
    <definedName name="QB_ROW_187050" localSheetId="0" hidden="1">'Approved Budget'!$F$163</definedName>
    <definedName name="QB_ROW_187050" localSheetId="5" hidden="1">'For Trustee 061422'!$F$163</definedName>
    <definedName name="QB_ROW_187050" localSheetId="7" hidden="1">'For Trustees 050522'!$F$163</definedName>
    <definedName name="QB_ROW_187050" localSheetId="2" hidden="1">'For Trustees 071222 '!$F$163</definedName>
    <definedName name="QB_ROW_187050" localSheetId="8" hidden="1">'Working Copy 050522'!$F$135</definedName>
    <definedName name="QB_ROW_187050" localSheetId="6" hidden="1">'Working Copy 061422'!$F$163</definedName>
    <definedName name="QB_ROW_187050" localSheetId="3" hidden="1">'Working Copy 071222'!$F$163</definedName>
    <definedName name="QB_ROW_187350" localSheetId="10" hidden="1">'060421 For Trustees Prior Year '!$E$165</definedName>
    <definedName name="QB_ROW_187350" localSheetId="9" hidden="1">'Ad Downloaded 042822'!$F$129</definedName>
    <definedName name="QB_ROW_187350" localSheetId="1" hidden="1">'App Bud for Input'!$F$165</definedName>
    <definedName name="QB_ROW_187350" localSheetId="0" hidden="1">'Approved Budget'!$F$165</definedName>
    <definedName name="QB_ROW_187350" localSheetId="5" hidden="1">'For Trustee 061422'!$F$165</definedName>
    <definedName name="QB_ROW_187350" localSheetId="7" hidden="1">'For Trustees 050522'!$F$165</definedName>
    <definedName name="QB_ROW_187350" localSheetId="2" hidden="1">'For Trustees 071222 '!$F$165</definedName>
    <definedName name="QB_ROW_187350" localSheetId="8" hidden="1">'Working Copy 050522'!$F$137</definedName>
    <definedName name="QB_ROW_187350" localSheetId="6" hidden="1">'Working Copy 061422'!$F$165</definedName>
    <definedName name="QB_ROW_187350" localSheetId="3" hidden="1">'Working Copy 071222'!$F$165</definedName>
    <definedName name="QB_ROW_188050" localSheetId="10" hidden="1">'060421 For Trustees Prior Year '!$E$157</definedName>
    <definedName name="QB_ROW_188050" localSheetId="9" hidden="1">'Ad Downloaded 042822'!$F$124</definedName>
    <definedName name="QB_ROW_188050" localSheetId="1" hidden="1">'App Bud for Input'!$F$157</definedName>
    <definedName name="QB_ROW_188050" localSheetId="0" hidden="1">'Approved Budget'!$F$157</definedName>
    <definedName name="QB_ROW_188050" localSheetId="5" hidden="1">'For Trustee 061422'!$F$157</definedName>
    <definedName name="QB_ROW_188050" localSheetId="7" hidden="1">'For Trustees 050522'!$F$157</definedName>
    <definedName name="QB_ROW_188050" localSheetId="2" hidden="1">'For Trustees 071222 '!$F$157</definedName>
    <definedName name="QB_ROW_188050" localSheetId="8" hidden="1">'Working Copy 050522'!$F$129</definedName>
    <definedName name="QB_ROW_188050" localSheetId="6" hidden="1">'Working Copy 061422'!$F$157</definedName>
    <definedName name="QB_ROW_188050" localSheetId="3" hidden="1">'Working Copy 071222'!$F$157</definedName>
    <definedName name="QB_ROW_188350" localSheetId="10" hidden="1">'060421 For Trustees Prior Year '!$E$162</definedName>
    <definedName name="QB_ROW_188350" localSheetId="9" hidden="1">'Ad Downloaded 042822'!$F$126</definedName>
    <definedName name="QB_ROW_188350" localSheetId="1" hidden="1">'App Bud for Input'!$F$162</definedName>
    <definedName name="QB_ROW_188350" localSheetId="0" hidden="1">'Approved Budget'!$F$162</definedName>
    <definedName name="QB_ROW_188350" localSheetId="5" hidden="1">'For Trustee 061422'!$F$162</definedName>
    <definedName name="QB_ROW_188350" localSheetId="7" hidden="1">'For Trustees 050522'!$F$162</definedName>
    <definedName name="QB_ROW_188350" localSheetId="2" hidden="1">'For Trustees 071222 '!$F$162</definedName>
    <definedName name="QB_ROW_188350" localSheetId="8" hidden="1">'Working Copy 050522'!$F$134</definedName>
    <definedName name="QB_ROW_188350" localSheetId="6" hidden="1">'Working Copy 061422'!$F$162</definedName>
    <definedName name="QB_ROW_188350" localSheetId="3" hidden="1">'Working Copy 071222'!$F$162</definedName>
    <definedName name="QB_ROW_19011" localSheetId="10" hidden="1">'060421 For Trustees Prior Year '!$A$2</definedName>
    <definedName name="QB_ROW_19011" localSheetId="9" hidden="1">'Ad Downloaded 042822'!$B$2</definedName>
    <definedName name="QB_ROW_19011" localSheetId="1" hidden="1">'App Bud for Input'!$B$2</definedName>
    <definedName name="QB_ROW_19011" localSheetId="0" hidden="1">'Approved Budget'!$B$2</definedName>
    <definedName name="QB_ROW_19011" localSheetId="5" hidden="1">'For Trustee 061422'!$B$2</definedName>
    <definedName name="QB_ROW_19011" localSheetId="7" hidden="1">'For Trustees 050522'!$B$2</definedName>
    <definedName name="QB_ROW_19011" localSheetId="2" hidden="1">'For Trustees 071222 '!$B$2</definedName>
    <definedName name="QB_ROW_19011" localSheetId="8" hidden="1">'Working Copy 050522'!$B$2</definedName>
    <definedName name="QB_ROW_19011" localSheetId="6" hidden="1">'Working Copy 061422'!$B$2</definedName>
    <definedName name="QB_ROW_19011" localSheetId="3" hidden="1">'Working Copy 071222'!$B$2</definedName>
    <definedName name="QB_ROW_191050" localSheetId="10" hidden="1">'060421 For Trustees Prior Year '!$E$166</definedName>
    <definedName name="QB_ROW_191050" localSheetId="9" hidden="1">'Ad Downloaded 042822'!$F$130</definedName>
    <definedName name="QB_ROW_191050" localSheetId="1" hidden="1">'App Bud for Input'!$F$166</definedName>
    <definedName name="QB_ROW_191050" localSheetId="0" hidden="1">'Approved Budget'!$F$166</definedName>
    <definedName name="QB_ROW_191050" localSheetId="5" hidden="1">'For Trustee 061422'!$F$166</definedName>
    <definedName name="QB_ROW_191050" localSheetId="7" hidden="1">'For Trustees 050522'!$F$166</definedName>
    <definedName name="QB_ROW_191050" localSheetId="2" hidden="1">'For Trustees 071222 '!$F$166</definedName>
    <definedName name="QB_ROW_191050" localSheetId="8" hidden="1">'Working Copy 050522'!$F$138</definedName>
    <definedName name="QB_ROW_191050" localSheetId="6" hidden="1">'Working Copy 061422'!$F$166</definedName>
    <definedName name="QB_ROW_191050" localSheetId="3" hidden="1">'Working Copy 071222'!$F$166</definedName>
    <definedName name="QB_ROW_191350" localSheetId="10" hidden="1">'060421 For Trustees Prior Year '!$E$170</definedName>
    <definedName name="QB_ROW_191350" localSheetId="9" hidden="1">'Ad Downloaded 042822'!$F$132</definedName>
    <definedName name="QB_ROW_191350" localSheetId="1" hidden="1">'App Bud for Input'!$F$170</definedName>
    <definedName name="QB_ROW_191350" localSheetId="0" hidden="1">'Approved Budget'!$F$170</definedName>
    <definedName name="QB_ROW_191350" localSheetId="5" hidden="1">'For Trustee 061422'!$F$170</definedName>
    <definedName name="QB_ROW_191350" localSheetId="7" hidden="1">'For Trustees 050522'!$F$170</definedName>
    <definedName name="QB_ROW_191350" localSheetId="2" hidden="1">'For Trustees 071222 '!$F$170</definedName>
    <definedName name="QB_ROW_191350" localSheetId="8" hidden="1">'Working Copy 050522'!$F$142</definedName>
    <definedName name="QB_ROW_191350" localSheetId="6" hidden="1">'Working Copy 061422'!$F$170</definedName>
    <definedName name="QB_ROW_191350" localSheetId="3" hidden="1">'Working Copy 071222'!$F$170</definedName>
    <definedName name="QB_ROW_19311" localSheetId="10" hidden="1">'060421 For Trustees Prior Year '!$A$179</definedName>
    <definedName name="QB_ROW_19311" localSheetId="9" hidden="1">'Ad Downloaded 042822'!$B$135</definedName>
    <definedName name="QB_ROW_19311" localSheetId="1" hidden="1">'App Bud for Input'!$B$176</definedName>
    <definedName name="QB_ROW_19311" localSheetId="0" hidden="1">'Approved Budget'!$B$176</definedName>
    <definedName name="QB_ROW_19311" localSheetId="5" hidden="1">'For Trustee 061422'!$B$176</definedName>
    <definedName name="QB_ROW_19311" localSheetId="7" hidden="1">'For Trustees 050522'!$B$176</definedName>
    <definedName name="QB_ROW_19311" localSheetId="2" hidden="1">'For Trustees 071222 '!$B$176</definedName>
    <definedName name="QB_ROW_19311" localSheetId="8" hidden="1">'Working Copy 050522'!$B$148</definedName>
    <definedName name="QB_ROW_19311" localSheetId="6" hidden="1">'Working Copy 061422'!$B$176</definedName>
    <definedName name="QB_ROW_19311" localSheetId="3" hidden="1">'Working Copy 071222'!$B$176</definedName>
    <definedName name="QB_ROW_193260" localSheetId="10" hidden="1">'060421 For Trustees Prior Year '!$F$142</definedName>
    <definedName name="QB_ROW_193260" localSheetId="9" hidden="1">'Ad Downloaded 042822'!$G$110</definedName>
    <definedName name="QB_ROW_193260" localSheetId="1" hidden="1">'App Bud for Input'!$G$142</definedName>
    <definedName name="QB_ROW_193260" localSheetId="0" hidden="1">'Approved Budget'!$G$142</definedName>
    <definedName name="QB_ROW_193260" localSheetId="5" hidden="1">'For Trustee 061422'!$G$142</definedName>
    <definedName name="QB_ROW_193260" localSheetId="7" hidden="1">'For Trustees 050522'!$G$142</definedName>
    <definedName name="QB_ROW_193260" localSheetId="2" hidden="1">'For Trustees 071222 '!$G$142</definedName>
    <definedName name="QB_ROW_193260" localSheetId="8" hidden="1">'Working Copy 050522'!$G$114</definedName>
    <definedName name="QB_ROW_193260" localSheetId="6" hidden="1">'Working Copy 061422'!$G$142</definedName>
    <definedName name="QB_ROW_193260" localSheetId="3" hidden="1">'Working Copy 071222'!$G$142</definedName>
    <definedName name="QB_ROW_194250" localSheetId="10" hidden="1">'060421 For Trustees Prior Year '!$E$29</definedName>
    <definedName name="QB_ROW_200230" localSheetId="10" hidden="1">'060421 For Trustees Prior Year '!$C$183</definedName>
    <definedName name="QB_ROW_200230" localSheetId="9" hidden="1">'Ad Downloaded 042822'!$D$139</definedName>
    <definedName name="QB_ROW_200230" localSheetId="1" hidden="1">'App Bud for Input'!$D$180</definedName>
    <definedName name="QB_ROW_200230" localSheetId="0" hidden="1">'Approved Budget'!$D$180</definedName>
    <definedName name="QB_ROW_200230" localSheetId="5" hidden="1">'For Trustee 061422'!$D$180</definedName>
    <definedName name="QB_ROW_200230" localSheetId="7" hidden="1">'For Trustees 050522'!$D$180</definedName>
    <definedName name="QB_ROW_200230" localSheetId="2" hidden="1">'For Trustees 071222 '!$D$180</definedName>
    <definedName name="QB_ROW_200230" localSheetId="8" hidden="1">'Working Copy 050522'!$D$152</definedName>
    <definedName name="QB_ROW_200230" localSheetId="6" hidden="1">'Working Copy 061422'!$D$180</definedName>
    <definedName name="QB_ROW_200230" localSheetId="3" hidden="1">'Working Copy 071222'!$D$180</definedName>
    <definedName name="QB_ROW_20031" localSheetId="10" hidden="1">'060421 For Trustees Prior Year '!$C$3</definedName>
    <definedName name="QB_ROW_20031" localSheetId="9" hidden="1">'Ad Downloaded 042822'!$D$3</definedName>
    <definedName name="QB_ROW_20031" localSheetId="1" hidden="1">'App Bud for Input'!$D$3</definedName>
    <definedName name="QB_ROW_20031" localSheetId="0" hidden="1">'Approved Budget'!$D$3</definedName>
    <definedName name="QB_ROW_20031" localSheetId="5" hidden="1">'For Trustee 061422'!$D$3</definedName>
    <definedName name="QB_ROW_20031" localSheetId="7" hidden="1">'For Trustees 050522'!$D$3</definedName>
    <definedName name="QB_ROW_20031" localSheetId="2" hidden="1">'For Trustees 071222 '!$D$3</definedName>
    <definedName name="QB_ROW_20031" localSheetId="8" hidden="1">'Working Copy 050522'!$D$3</definedName>
    <definedName name="QB_ROW_20031" localSheetId="6" hidden="1">'Working Copy 061422'!$D$3</definedName>
    <definedName name="QB_ROW_20031" localSheetId="3" hidden="1">'Working Copy 071222'!$D$3</definedName>
    <definedName name="QB_ROW_202230" localSheetId="10" hidden="1">'060421 For Trustees Prior Year '!$C$182</definedName>
    <definedName name="QB_ROW_202230" localSheetId="9" hidden="1">'Ad Downloaded 042822'!$D$138</definedName>
    <definedName name="QB_ROW_202230" localSheetId="1" hidden="1">'App Bud for Input'!$D$179</definedName>
    <definedName name="QB_ROW_202230" localSheetId="0" hidden="1">'Approved Budget'!$D$179</definedName>
    <definedName name="QB_ROW_202230" localSheetId="5" hidden="1">'For Trustee 061422'!$D$179</definedName>
    <definedName name="QB_ROW_202230" localSheetId="7" hidden="1">'For Trustees 050522'!$D$179</definedName>
    <definedName name="QB_ROW_202230" localSheetId="2" hidden="1">'For Trustees 071222 '!$D$179</definedName>
    <definedName name="QB_ROW_202230" localSheetId="8" hidden="1">'Working Copy 050522'!$D$151</definedName>
    <definedName name="QB_ROW_202230" localSheetId="6" hidden="1">'Working Copy 061422'!$D$179</definedName>
    <definedName name="QB_ROW_202230" localSheetId="3" hidden="1">'Working Copy 071222'!$D$179</definedName>
    <definedName name="QB_ROW_20250" localSheetId="10" hidden="1">'060421 For Trustees Prior Year '!$E$31</definedName>
    <definedName name="QB_ROW_20250" localSheetId="9" hidden="1">'Ad Downloaded 042822'!$F$31</definedName>
    <definedName name="QB_ROW_20250" localSheetId="1" hidden="1">'App Bud for Input'!$F$32</definedName>
    <definedName name="QB_ROW_20250" localSheetId="0" hidden="1">'Approved Budget'!$F$32</definedName>
    <definedName name="QB_ROW_20250" localSheetId="5" hidden="1">'For Trustee 061422'!$F$32</definedName>
    <definedName name="QB_ROW_20250" localSheetId="7" hidden="1">'For Trustees 050522'!$F$32</definedName>
    <definedName name="QB_ROW_20250" localSheetId="2" hidden="1">'For Trustees 071222 '!$F$32</definedName>
    <definedName name="QB_ROW_20250" localSheetId="8" hidden="1">'Working Copy 050522'!$F$32</definedName>
    <definedName name="QB_ROW_20250" localSheetId="6" hidden="1">'Working Copy 061422'!$F$32</definedName>
    <definedName name="QB_ROW_20250" localSheetId="3" hidden="1">'Working Copy 071222'!$F$32</definedName>
    <definedName name="QB_ROW_20331" localSheetId="10" hidden="1">'060421 For Trustees Prior Year '!$C$34</definedName>
    <definedName name="QB_ROW_20331" localSheetId="9" hidden="1">'Ad Downloaded 042822'!$D$34</definedName>
    <definedName name="QB_ROW_20331" localSheetId="1" hidden="1">'App Bud for Input'!$D$35</definedName>
    <definedName name="QB_ROW_20331" localSheetId="0" hidden="1">'Approved Budget'!$D$35</definedName>
    <definedName name="QB_ROW_20331" localSheetId="5" hidden="1">'For Trustee 061422'!$D$35</definedName>
    <definedName name="QB_ROW_20331" localSheetId="7" hidden="1">'For Trustees 050522'!$D$35</definedName>
    <definedName name="QB_ROW_20331" localSheetId="2" hidden="1">'For Trustees 071222 '!$D$35</definedName>
    <definedName name="QB_ROW_20331" localSheetId="8" hidden="1">'Working Copy 050522'!$D$35</definedName>
    <definedName name="QB_ROW_20331" localSheetId="6" hidden="1">'Working Copy 061422'!$D$35</definedName>
    <definedName name="QB_ROW_20331" localSheetId="3" hidden="1">'Working Copy 071222'!$D$35</definedName>
    <definedName name="QB_ROW_207350" localSheetId="10" hidden="1">'060421 For Trustees Prior Year '!$E$26</definedName>
    <definedName name="QB_ROW_207350" localSheetId="9" hidden="1">'Ad Downloaded 042822'!$F$27</definedName>
    <definedName name="QB_ROW_207350" localSheetId="1" hidden="1">'App Bud for Input'!$F$27</definedName>
    <definedName name="QB_ROW_207350" localSheetId="0" hidden="1">'Approved Budget'!$F$27</definedName>
    <definedName name="QB_ROW_207350" localSheetId="5" hidden="1">'For Trustee 061422'!$F$27</definedName>
    <definedName name="QB_ROW_207350" localSheetId="7" hidden="1">'For Trustees 050522'!$F$27</definedName>
    <definedName name="QB_ROW_207350" localSheetId="2" hidden="1">'For Trustees 071222 '!$F$27</definedName>
    <definedName name="QB_ROW_207350" localSheetId="8" hidden="1">'Working Copy 050522'!$F$27</definedName>
    <definedName name="QB_ROW_207350" localSheetId="6" hidden="1">'Working Copy 061422'!$F$27</definedName>
    <definedName name="QB_ROW_207350" localSheetId="3" hidden="1">'Working Copy 071222'!$F$27</definedName>
    <definedName name="QB_ROW_21031" localSheetId="10" hidden="1">'060421 For Trustees Prior Year '!$C$39</definedName>
    <definedName name="QB_ROW_21031" localSheetId="9" hidden="1">'Ad Downloaded 042822'!$D$39</definedName>
    <definedName name="QB_ROW_21031" localSheetId="1" hidden="1">'App Bud for Input'!$D$40</definedName>
    <definedName name="QB_ROW_21031" localSheetId="0" hidden="1">'Approved Budget'!$D$40</definedName>
    <definedName name="QB_ROW_21031" localSheetId="5" hidden="1">'For Trustee 061422'!$D$40</definedName>
    <definedName name="QB_ROW_21031" localSheetId="7" hidden="1">'For Trustees 050522'!$D$40</definedName>
    <definedName name="QB_ROW_21031" localSheetId="2" hidden="1">'For Trustees 071222 '!$D$40</definedName>
    <definedName name="QB_ROW_21031" localSheetId="8" hidden="1">'Working Copy 050522'!$D$40</definedName>
    <definedName name="QB_ROW_21031" localSheetId="6" hidden="1">'Working Copy 061422'!$D$40</definedName>
    <definedName name="QB_ROW_21031" localSheetId="3" hidden="1">'Working Copy 071222'!$D$40</definedName>
    <definedName name="QB_ROW_211260" localSheetId="10" hidden="1">'060421 For Trustees Prior Year '!$F$61</definedName>
    <definedName name="QB_ROW_211260" localSheetId="9" hidden="1">'Ad Downloaded 042822'!$G$61</definedName>
    <definedName name="QB_ROW_211260" localSheetId="1" hidden="1">'App Bud for Input'!$G$64</definedName>
    <definedName name="QB_ROW_211260" localSheetId="0" hidden="1">'Approved Budget'!$G$64</definedName>
    <definedName name="QB_ROW_211260" localSheetId="5" hidden="1">'For Trustee 061422'!$G$64</definedName>
    <definedName name="QB_ROW_211260" localSheetId="7" hidden="1">'For Trustees 050522'!$G$64</definedName>
    <definedName name="QB_ROW_211260" localSheetId="2" hidden="1">'For Trustees 071222 '!$G$64</definedName>
    <definedName name="QB_ROW_211260" localSheetId="8" hidden="1">'Working Copy 050522'!$G$62</definedName>
    <definedName name="QB_ROW_211260" localSheetId="6" hidden="1">'Working Copy 061422'!$G$64</definedName>
    <definedName name="QB_ROW_211260" localSheetId="3" hidden="1">'Working Copy 071222'!$G$64</definedName>
    <definedName name="QB_ROW_21250" localSheetId="10" hidden="1">'060421 For Trustees Prior Year '!$E$27</definedName>
    <definedName name="QB_ROW_21250" localSheetId="9" hidden="1">'Ad Downloaded 042822'!$F$28</definedName>
    <definedName name="QB_ROW_21250" localSheetId="1" hidden="1">'App Bud for Input'!$F$28</definedName>
    <definedName name="QB_ROW_21250" localSheetId="0" hidden="1">'Approved Budget'!$F$28</definedName>
    <definedName name="QB_ROW_21250" localSheetId="5" hidden="1">'For Trustee 061422'!$F$28</definedName>
    <definedName name="QB_ROW_21250" localSheetId="7" hidden="1">'For Trustees 050522'!$F$28</definedName>
    <definedName name="QB_ROW_21250" localSheetId="2" hidden="1">'For Trustees 071222 '!$F$28</definedName>
    <definedName name="QB_ROW_21250" localSheetId="8" hidden="1">'Working Copy 050522'!$F$28</definedName>
    <definedName name="QB_ROW_21250" localSheetId="6" hidden="1">'Working Copy 061422'!$F$28</definedName>
    <definedName name="QB_ROW_21250" localSheetId="3" hidden="1">'Working Copy 071222'!$F$28</definedName>
    <definedName name="QB_ROW_21331" localSheetId="10" hidden="1">'060421 For Trustees Prior Year '!$C$178</definedName>
    <definedName name="QB_ROW_21331" localSheetId="9" hidden="1">'Ad Downloaded 042822'!$D$134</definedName>
    <definedName name="QB_ROW_21331" localSheetId="1" hidden="1">'App Bud for Input'!$D$175</definedName>
    <definedName name="QB_ROW_21331" localSheetId="0" hidden="1">'Approved Budget'!$D$175</definedName>
    <definedName name="QB_ROW_21331" localSheetId="5" hidden="1">'For Trustee 061422'!$D$175</definedName>
    <definedName name="QB_ROW_21331" localSheetId="7" hidden="1">'For Trustees 050522'!$D$175</definedName>
    <definedName name="QB_ROW_21331" localSheetId="2" hidden="1">'For Trustees 071222 '!$D$175</definedName>
    <definedName name="QB_ROW_21331" localSheetId="8" hidden="1">'Working Copy 050522'!$D$147</definedName>
    <definedName name="QB_ROW_21331" localSheetId="6" hidden="1">'Working Copy 061422'!$D$175</definedName>
    <definedName name="QB_ROW_21331" localSheetId="3" hidden="1">'Working Copy 071222'!$D$175</definedName>
    <definedName name="QB_ROW_214250" localSheetId="10" hidden="1">'060421 For Trustees Prior Year '!$E$28</definedName>
    <definedName name="QB_ROW_214250" localSheetId="9" hidden="1">'Ad Downloaded 042822'!$F$29</definedName>
    <definedName name="QB_ROW_214250" localSheetId="1" hidden="1">'App Bud for Input'!$F$29</definedName>
    <definedName name="QB_ROW_214250" localSheetId="0" hidden="1">'Approved Budget'!$F$29</definedName>
    <definedName name="QB_ROW_214250" localSheetId="5" hidden="1">'For Trustee 061422'!$F$29</definedName>
    <definedName name="QB_ROW_214250" localSheetId="7" hidden="1">'For Trustees 050522'!$F$29</definedName>
    <definedName name="QB_ROW_214250" localSheetId="2" hidden="1">'For Trustees 071222 '!$F$29</definedName>
    <definedName name="QB_ROW_214250" localSheetId="8" hidden="1">'Working Copy 050522'!$F$29</definedName>
    <definedName name="QB_ROW_214250" localSheetId="6" hidden="1">'Working Copy 061422'!$F$29</definedName>
    <definedName name="QB_ROW_214250" localSheetId="3" hidden="1">'Working Copy 071222'!$F$29</definedName>
    <definedName name="QB_ROW_22011" localSheetId="10" hidden="1">'060421 For Trustees Prior Year '!$A$180</definedName>
    <definedName name="QB_ROW_22011" localSheetId="9" hidden="1">'Ad Downloaded 042822'!$B$136</definedName>
    <definedName name="QB_ROW_22011" localSheetId="1" hidden="1">'App Bud for Input'!$B$177</definedName>
    <definedName name="QB_ROW_22011" localSheetId="0" hidden="1">'Approved Budget'!$B$177</definedName>
    <definedName name="QB_ROW_22011" localSheetId="5" hidden="1">'For Trustee 061422'!$B$177</definedName>
    <definedName name="QB_ROW_22011" localSheetId="7" hidden="1">'For Trustees 050522'!$B$177</definedName>
    <definedName name="QB_ROW_22011" localSheetId="2" hidden="1">'For Trustees 071222 '!$B$177</definedName>
    <definedName name="QB_ROW_22011" localSheetId="8" hidden="1">'Working Copy 050522'!$B$149</definedName>
    <definedName name="QB_ROW_22011" localSheetId="6" hidden="1">'Working Copy 061422'!$B$177</definedName>
    <definedName name="QB_ROW_22011" localSheetId="3" hidden="1">'Working Copy 071222'!$B$177</definedName>
    <definedName name="QB_ROW_220260" localSheetId="10" hidden="1">'060421 For Trustees Prior Year '!$F$107</definedName>
    <definedName name="QB_ROW_220260" localSheetId="9" hidden="1">'Ad Downloaded 042822'!$G$88</definedName>
    <definedName name="QB_ROW_220260" localSheetId="1" hidden="1">'App Bud for Input'!$G$107</definedName>
    <definedName name="QB_ROW_220260" localSheetId="0" hidden="1">'Approved Budget'!$G$107</definedName>
    <definedName name="QB_ROW_220260" localSheetId="5" hidden="1">'For Trustee 061422'!$G$107</definedName>
    <definedName name="QB_ROW_220260" localSheetId="7" hidden="1">'For Trustees 050522'!$G$107</definedName>
    <definedName name="QB_ROW_220260" localSheetId="2" hidden="1">'For Trustees 071222 '!$G$107</definedName>
    <definedName name="QB_ROW_220260" localSheetId="8" hidden="1">'Working Copy 050522'!$G$90</definedName>
    <definedName name="QB_ROW_220260" localSheetId="6" hidden="1">'Working Copy 061422'!$G$107</definedName>
    <definedName name="QB_ROW_220260" localSheetId="3" hidden="1">'Working Copy 071222'!$G$107</definedName>
    <definedName name="QB_ROW_221260" localSheetId="10" hidden="1">'060421 For Trustees Prior Year '!$F$113</definedName>
    <definedName name="QB_ROW_221260" localSheetId="9" hidden="1">'Ad Downloaded 042822'!$G$93</definedName>
    <definedName name="QB_ROW_221260" localSheetId="1" hidden="1">'App Bud for Input'!$G$113</definedName>
    <definedName name="QB_ROW_221260" localSheetId="0" hidden="1">'Approved Budget'!$G$113</definedName>
    <definedName name="QB_ROW_221260" localSheetId="5" hidden="1">'For Trustee 061422'!$G$113</definedName>
    <definedName name="QB_ROW_221260" localSheetId="7" hidden="1">'For Trustees 050522'!$G$113</definedName>
    <definedName name="QB_ROW_221260" localSheetId="2" hidden="1">'For Trustees 071222 '!$G$113</definedName>
    <definedName name="QB_ROW_221260" localSheetId="8" hidden="1">'Working Copy 050522'!$G$96</definedName>
    <definedName name="QB_ROW_221260" localSheetId="6" hidden="1">'Working Copy 061422'!$G$113</definedName>
    <definedName name="QB_ROW_221260" localSheetId="3" hidden="1">'Working Copy 071222'!$G$113</definedName>
    <definedName name="QB_ROW_222260" localSheetId="10" hidden="1">'060421 For Trustees Prior Year '!$F$120</definedName>
    <definedName name="QB_ROW_222260" localSheetId="9" hidden="1">'Ad Downloaded 042822'!$G$99</definedName>
    <definedName name="QB_ROW_222260" localSheetId="1" hidden="1">'App Bud for Input'!$G$120</definedName>
    <definedName name="QB_ROW_222260" localSheetId="0" hidden="1">'Approved Budget'!$G$120</definedName>
    <definedName name="QB_ROW_222260" localSheetId="5" hidden="1">'For Trustee 061422'!$G$120</definedName>
    <definedName name="QB_ROW_222260" localSheetId="7" hidden="1">'For Trustees 050522'!$G$120</definedName>
    <definedName name="QB_ROW_222260" localSheetId="2" hidden="1">'For Trustees 071222 '!$G$120</definedName>
    <definedName name="QB_ROW_222260" localSheetId="8" hidden="1">'Working Copy 050522'!$G$103</definedName>
    <definedName name="QB_ROW_222260" localSheetId="6" hidden="1">'Working Copy 061422'!$G$120</definedName>
    <definedName name="QB_ROW_222260" localSheetId="3" hidden="1">'Working Copy 071222'!$G$120</definedName>
    <definedName name="QB_ROW_22250" localSheetId="10" hidden="1">'060421 For Trustees Prior Year '!$E$24</definedName>
    <definedName name="QB_ROW_22250" localSheetId="9" hidden="1">'Ad Downloaded 042822'!$F$25</definedName>
    <definedName name="QB_ROW_22250" localSheetId="1" hidden="1">'App Bud for Input'!$F$25</definedName>
    <definedName name="QB_ROW_22250" localSheetId="0" hidden="1">'Approved Budget'!$F$25</definedName>
    <definedName name="QB_ROW_22250" localSheetId="5" hidden="1">'For Trustee 061422'!$F$25</definedName>
    <definedName name="QB_ROW_22250" localSheetId="7" hidden="1">'For Trustees 050522'!$F$25</definedName>
    <definedName name="QB_ROW_22250" localSheetId="2" hidden="1">'For Trustees 071222 '!$F$25</definedName>
    <definedName name="QB_ROW_22250" localSheetId="8" hidden="1">'Working Copy 050522'!$F$25</definedName>
    <definedName name="QB_ROW_22250" localSheetId="6" hidden="1">'Working Copy 061422'!$F$25</definedName>
    <definedName name="QB_ROW_22250" localSheetId="3" hidden="1">'Working Copy 071222'!$F$25</definedName>
    <definedName name="QB_ROW_22311" localSheetId="10" hidden="1">'060421 For Trustees Prior Year '!$A$185</definedName>
    <definedName name="QB_ROW_22311" localSheetId="9" hidden="1">'Ad Downloaded 042822'!$B$142</definedName>
    <definedName name="QB_ROW_22311" localSheetId="1" hidden="1">'App Bud for Input'!$B$183</definedName>
    <definedName name="QB_ROW_22311" localSheetId="0" hidden="1">'Approved Budget'!$B$183</definedName>
    <definedName name="QB_ROW_22311" localSheetId="5" hidden="1">'For Trustee 061422'!$B$183</definedName>
    <definedName name="QB_ROW_22311" localSheetId="7" hidden="1">'For Trustees 050522'!$B$183</definedName>
    <definedName name="QB_ROW_22311" localSheetId="2" hidden="1">'For Trustees 071222 '!$B$183</definedName>
    <definedName name="QB_ROW_22311" localSheetId="8" hidden="1">'Working Copy 050522'!$B$155</definedName>
    <definedName name="QB_ROW_22311" localSheetId="6" hidden="1">'Working Copy 061422'!$B$183</definedName>
    <definedName name="QB_ROW_22311" localSheetId="3" hidden="1">'Working Copy 071222'!$B$183</definedName>
    <definedName name="QB_ROW_227260" localSheetId="10" hidden="1">'060421 For Trustees Prior Year '!$F$114</definedName>
    <definedName name="QB_ROW_227260" localSheetId="9" hidden="1">'Ad Downloaded 042822'!$G$94</definedName>
    <definedName name="QB_ROW_227260" localSheetId="1" hidden="1">'App Bud for Input'!$G$114</definedName>
    <definedName name="QB_ROW_227260" localSheetId="0" hidden="1">'Approved Budget'!$G$114</definedName>
    <definedName name="QB_ROW_227260" localSheetId="5" hidden="1">'For Trustee 061422'!$G$114</definedName>
    <definedName name="QB_ROW_227260" localSheetId="7" hidden="1">'For Trustees 050522'!$G$114</definedName>
    <definedName name="QB_ROW_227260" localSheetId="2" hidden="1">'For Trustees 071222 '!$G$114</definedName>
    <definedName name="QB_ROW_227260" localSheetId="8" hidden="1">'Working Copy 050522'!$G$97</definedName>
    <definedName name="QB_ROW_227260" localSheetId="6" hidden="1">'Working Copy 061422'!$G$114</definedName>
    <definedName name="QB_ROW_227260" localSheetId="3" hidden="1">'Working Copy 071222'!$G$114</definedName>
    <definedName name="QB_ROW_229260" localSheetId="10" hidden="1">'060421 For Trustees Prior Year '!$F$161</definedName>
    <definedName name="QB_ROW_23021" localSheetId="10" hidden="1">'060421 For Trustees Prior Year '!$B$181</definedName>
    <definedName name="QB_ROW_23021" localSheetId="9" hidden="1">'Ad Downloaded 042822'!$C$137</definedName>
    <definedName name="QB_ROW_23021" localSheetId="1" hidden="1">'App Bud for Input'!$C$178</definedName>
    <definedName name="QB_ROW_23021" localSheetId="0" hidden="1">'Approved Budget'!$C$178</definedName>
    <definedName name="QB_ROW_23021" localSheetId="5" hidden="1">'For Trustee 061422'!$C$178</definedName>
    <definedName name="QB_ROW_23021" localSheetId="7" hidden="1">'For Trustees 050522'!$C$178</definedName>
    <definedName name="QB_ROW_23021" localSheetId="2" hidden="1">'For Trustees 071222 '!$C$178</definedName>
    <definedName name="QB_ROW_23021" localSheetId="8" hidden="1">'Working Copy 050522'!$C$150</definedName>
    <definedName name="QB_ROW_23021" localSheetId="6" hidden="1">'Working Copy 061422'!$C$178</definedName>
    <definedName name="QB_ROW_23021" localSheetId="3" hidden="1">'Working Copy 071222'!$C$178</definedName>
    <definedName name="QB_ROW_230260" localSheetId="10" hidden="1">'060421 For Trustees Prior Year '!$F$167</definedName>
    <definedName name="QB_ROW_23321" localSheetId="10" hidden="1">'060421 For Trustees Prior Year '!$B$184</definedName>
    <definedName name="QB_ROW_23321" localSheetId="9" hidden="1">'Ad Downloaded 042822'!$C$141</definedName>
    <definedName name="QB_ROW_23321" localSheetId="1" hidden="1">'App Bud for Input'!$C$182</definedName>
    <definedName name="QB_ROW_23321" localSheetId="0" hidden="1">'Approved Budget'!$C$182</definedName>
    <definedName name="QB_ROW_23321" localSheetId="5" hidden="1">'For Trustee 061422'!$C$182</definedName>
    <definedName name="QB_ROW_23321" localSheetId="7" hidden="1">'For Trustees 050522'!$C$182</definedName>
    <definedName name="QB_ROW_23321" localSheetId="2" hidden="1">'For Trustees 071222 '!$C$182</definedName>
    <definedName name="QB_ROW_23321" localSheetId="8" hidden="1">'Working Copy 050522'!$C$154</definedName>
    <definedName name="QB_ROW_23321" localSheetId="6" hidden="1">'Working Copy 061422'!$C$182</definedName>
    <definedName name="QB_ROW_23321" localSheetId="3" hidden="1">'Working Copy 071222'!$C$182</definedName>
    <definedName name="QB_ROW_234250" localSheetId="10" hidden="1">'060421 For Trustees Prior Year '!$E$13</definedName>
    <definedName name="QB_ROW_234250" localSheetId="9" hidden="1">'Ad Downloaded 042822'!$F$14</definedName>
    <definedName name="QB_ROW_234250" localSheetId="1" hidden="1">'App Bud for Input'!$F$14</definedName>
    <definedName name="QB_ROW_234250" localSheetId="0" hidden="1">'Approved Budget'!$F$14</definedName>
    <definedName name="QB_ROW_234250" localSheetId="5" hidden="1">'For Trustee 061422'!$F$14</definedName>
    <definedName name="QB_ROW_234250" localSheetId="7" hidden="1">'For Trustees 050522'!$F$14</definedName>
    <definedName name="QB_ROW_234250" localSheetId="2" hidden="1">'For Trustees 071222 '!$F$14</definedName>
    <definedName name="QB_ROW_234250" localSheetId="8" hidden="1">'Working Copy 050522'!$F$14</definedName>
    <definedName name="QB_ROW_234250" localSheetId="6" hidden="1">'Working Copy 061422'!$F$14</definedName>
    <definedName name="QB_ROW_234250" localSheetId="3" hidden="1">'Working Copy 071222'!$F$14</definedName>
    <definedName name="QB_ROW_236250" localSheetId="10" hidden="1">'060421 For Trustees Prior Year '!$E$10</definedName>
    <definedName name="QB_ROW_236250" localSheetId="9" hidden="1">'Ad Downloaded 042822'!$F$11</definedName>
    <definedName name="QB_ROW_236250" localSheetId="1" hidden="1">'App Bud for Input'!$F$11</definedName>
    <definedName name="QB_ROW_236250" localSheetId="0" hidden="1">'Approved Budget'!$F$11</definedName>
    <definedName name="QB_ROW_236250" localSheetId="5" hidden="1">'For Trustee 061422'!$F$11</definedName>
    <definedName name="QB_ROW_236250" localSheetId="7" hidden="1">'For Trustees 050522'!$F$11</definedName>
    <definedName name="QB_ROW_236250" localSheetId="2" hidden="1">'For Trustees 071222 '!$F$11</definedName>
    <definedName name="QB_ROW_236250" localSheetId="8" hidden="1">'Working Copy 050522'!$F$11</definedName>
    <definedName name="QB_ROW_236250" localSheetId="6" hidden="1">'Working Copy 061422'!$F$11</definedName>
    <definedName name="QB_ROW_236250" localSheetId="3" hidden="1">'Working Copy 071222'!$F$11</definedName>
    <definedName name="QB_ROW_241260" localSheetId="10" hidden="1">'060421 For Trustees Prior Year '!$F$110</definedName>
    <definedName name="QB_ROW_241260" localSheetId="9" hidden="1">'Ad Downloaded 042822'!$G$91</definedName>
    <definedName name="QB_ROW_241260" localSheetId="1" hidden="1">'App Bud for Input'!$G$110</definedName>
    <definedName name="QB_ROW_241260" localSheetId="0" hidden="1">'Approved Budget'!$G$110</definedName>
    <definedName name="QB_ROW_241260" localSheetId="5" hidden="1">'For Trustee 061422'!$G$110</definedName>
    <definedName name="QB_ROW_241260" localSheetId="7" hidden="1">'For Trustees 050522'!$G$110</definedName>
    <definedName name="QB_ROW_241260" localSheetId="2" hidden="1">'For Trustees 071222 '!$G$110</definedName>
    <definedName name="QB_ROW_241260" localSheetId="8" hidden="1">'Working Copy 050522'!$G$93</definedName>
    <definedName name="QB_ROW_241260" localSheetId="6" hidden="1">'Working Copy 061422'!$G$110</definedName>
    <definedName name="QB_ROW_241260" localSheetId="3" hidden="1">'Working Copy 071222'!$G$110</definedName>
    <definedName name="QB_ROW_243260" localSheetId="10" hidden="1">'060421 For Trustees Prior Year '!$F$164</definedName>
    <definedName name="QB_ROW_243260" localSheetId="9" hidden="1">'Ad Downloaded 042822'!$G$128</definedName>
    <definedName name="QB_ROW_243260" localSheetId="1" hidden="1">'App Bud for Input'!$G$164</definedName>
    <definedName name="QB_ROW_243260" localSheetId="0" hidden="1">'Approved Budget'!$G$164</definedName>
    <definedName name="QB_ROW_243260" localSheetId="5" hidden="1">'For Trustee 061422'!$G$164</definedName>
    <definedName name="QB_ROW_243260" localSheetId="7" hidden="1">'For Trustees 050522'!$G$164</definedName>
    <definedName name="QB_ROW_243260" localSheetId="2" hidden="1">'For Trustees 071222 '!$G$164</definedName>
    <definedName name="QB_ROW_243260" localSheetId="8" hidden="1">'Working Copy 050522'!$G$136</definedName>
    <definedName name="QB_ROW_243260" localSheetId="6" hidden="1">'Working Copy 061422'!$G$164</definedName>
    <definedName name="QB_ROW_243260" localSheetId="3" hidden="1">'Working Copy 071222'!$G$164</definedName>
    <definedName name="QB_ROW_244260" localSheetId="10" hidden="1">'060421 For Trustees Prior Year '!$F$169</definedName>
    <definedName name="QB_ROW_244260" localSheetId="9" hidden="1">'Ad Downloaded 042822'!$G$131</definedName>
    <definedName name="QB_ROW_244260" localSheetId="1" hidden="1">'App Bud for Input'!$G$169</definedName>
    <definedName name="QB_ROW_244260" localSheetId="0" hidden="1">'Approved Budget'!$G$169</definedName>
    <definedName name="QB_ROW_244260" localSheetId="5" hidden="1">'For Trustee 061422'!$G$169</definedName>
    <definedName name="QB_ROW_244260" localSheetId="7" hidden="1">'For Trustees 050522'!$G$169</definedName>
    <definedName name="QB_ROW_244260" localSheetId="2" hidden="1">'For Trustees 071222 '!$G$169</definedName>
    <definedName name="QB_ROW_244260" localSheetId="8" hidden="1">'Working Copy 050522'!$G$141</definedName>
    <definedName name="QB_ROW_244260" localSheetId="6" hidden="1">'Working Copy 061422'!$G$169</definedName>
    <definedName name="QB_ROW_244260" localSheetId="3" hidden="1">'Working Copy 071222'!$G$169</definedName>
    <definedName name="QB_ROW_25250" localSheetId="10" hidden="1">'060421 For Trustees Prior Year '!$E$11</definedName>
    <definedName name="QB_ROW_25250" localSheetId="9" hidden="1">'Ad Downloaded 042822'!$F$12</definedName>
    <definedName name="QB_ROW_25250" localSheetId="1" hidden="1">'App Bud for Input'!$F$12</definedName>
    <definedName name="QB_ROW_25250" localSheetId="0" hidden="1">'Approved Budget'!$F$12</definedName>
    <definedName name="QB_ROW_25250" localSheetId="5" hidden="1">'For Trustee 061422'!$F$12</definedName>
    <definedName name="QB_ROW_25250" localSheetId="7" hidden="1">'For Trustees 050522'!$F$12</definedName>
    <definedName name="QB_ROW_25250" localSheetId="2" hidden="1">'For Trustees 071222 '!$F$12</definedName>
    <definedName name="QB_ROW_25250" localSheetId="8" hidden="1">'Working Copy 050522'!$F$12</definedName>
    <definedName name="QB_ROW_25250" localSheetId="6" hidden="1">'Working Copy 061422'!$F$12</definedName>
    <definedName name="QB_ROW_25250" localSheetId="3" hidden="1">'Working Copy 071222'!$F$12</definedName>
    <definedName name="QB_ROW_259250" localSheetId="10" hidden="1">'060421 For Trustees Prior Year '!$E$17</definedName>
    <definedName name="QB_ROW_259250" localSheetId="9" hidden="1">'Ad Downloaded 042822'!$F$18</definedName>
    <definedName name="QB_ROW_259250" localSheetId="1" hidden="1">'App Bud for Input'!$F$18</definedName>
    <definedName name="QB_ROW_259250" localSheetId="0" hidden="1">'Approved Budget'!$F$18</definedName>
    <definedName name="QB_ROW_259250" localSheetId="5" hidden="1">'For Trustee 061422'!$F$18</definedName>
    <definedName name="QB_ROW_259250" localSheetId="7" hidden="1">'For Trustees 050522'!$F$18</definedName>
    <definedName name="QB_ROW_259250" localSheetId="2" hidden="1">'For Trustees 071222 '!$F$18</definedName>
    <definedName name="QB_ROW_259250" localSheetId="8" hidden="1">'Working Copy 050522'!$F$18</definedName>
    <definedName name="QB_ROW_259250" localSheetId="6" hidden="1">'Working Copy 061422'!$F$18</definedName>
    <definedName name="QB_ROW_259250" localSheetId="3" hidden="1">'Working Copy 071222'!$F$18</definedName>
    <definedName name="QB_ROW_260250" localSheetId="10" hidden="1">'060421 For Trustees Prior Year '!$E$16</definedName>
    <definedName name="QB_ROW_260250" localSheetId="9" hidden="1">'Ad Downloaded 042822'!$F$17</definedName>
    <definedName name="QB_ROW_260250" localSheetId="1" hidden="1">'App Bud for Input'!$F$17</definedName>
    <definedName name="QB_ROW_260250" localSheetId="0" hidden="1">'Approved Budget'!$F$17</definedName>
    <definedName name="QB_ROW_260250" localSheetId="5" hidden="1">'For Trustee 061422'!$F$17</definedName>
    <definedName name="QB_ROW_260250" localSheetId="7" hidden="1">'For Trustees 050522'!$F$17</definedName>
    <definedName name="QB_ROW_260250" localSheetId="2" hidden="1">'For Trustees 071222 '!$F$17</definedName>
    <definedName name="QB_ROW_260250" localSheetId="8" hidden="1">'Working Copy 050522'!$F$17</definedName>
    <definedName name="QB_ROW_260250" localSheetId="6" hidden="1">'Working Copy 061422'!$F$17</definedName>
    <definedName name="QB_ROW_260250" localSheetId="3" hidden="1">'Working Copy 071222'!$F$17</definedName>
    <definedName name="QB_ROW_262260" localSheetId="9" hidden="1">'Ad Downloaded 042822'!$G$44</definedName>
    <definedName name="QB_ROW_262260" localSheetId="1" hidden="1">'App Bud for Input'!$G$45</definedName>
    <definedName name="QB_ROW_262260" localSheetId="0" hidden="1">'Approved Budget'!$G$45</definedName>
    <definedName name="QB_ROW_262260" localSheetId="5" hidden="1">'For Trustee 061422'!$G$45</definedName>
    <definedName name="QB_ROW_262260" localSheetId="7" hidden="1">'For Trustees 050522'!$G$45</definedName>
    <definedName name="QB_ROW_262260" localSheetId="2" hidden="1">'For Trustees 071222 '!$G$45</definedName>
    <definedName name="QB_ROW_262260" localSheetId="8" hidden="1">'Working Copy 050522'!$G$45</definedName>
    <definedName name="QB_ROW_262260" localSheetId="6" hidden="1">'Working Copy 061422'!$G$45</definedName>
    <definedName name="QB_ROW_262260" localSheetId="3" hidden="1">'Working Copy 071222'!$G$45</definedName>
    <definedName name="QB_ROW_263250" localSheetId="10" hidden="1">'060421 For Trustees Prior Year '!$E$30</definedName>
    <definedName name="QB_ROW_263250" localSheetId="9" hidden="1">'Ad Downloaded 042822'!$F$30</definedName>
    <definedName name="QB_ROW_263250" localSheetId="1" hidden="1">'App Bud for Input'!$F$31</definedName>
    <definedName name="QB_ROW_263250" localSheetId="0" hidden="1">'Approved Budget'!$F$31</definedName>
    <definedName name="QB_ROW_263250" localSheetId="5" hidden="1">'For Trustee 061422'!$F$31</definedName>
    <definedName name="QB_ROW_263250" localSheetId="7" hidden="1">'For Trustees 050522'!$F$31</definedName>
    <definedName name="QB_ROW_263250" localSheetId="2" hidden="1">'For Trustees 071222 '!$F$31</definedName>
    <definedName name="QB_ROW_263250" localSheetId="8" hidden="1">'Working Copy 050522'!$F$31</definedName>
    <definedName name="QB_ROW_263250" localSheetId="6" hidden="1">'Working Copy 061422'!$F$31</definedName>
    <definedName name="QB_ROW_263250" localSheetId="3" hidden="1">'Working Copy 071222'!$F$31</definedName>
    <definedName name="QB_ROW_264250" localSheetId="10" hidden="1">'060421 For Trustees Prior Year '!$E$25</definedName>
    <definedName name="QB_ROW_264250" localSheetId="9" hidden="1">'Ad Downloaded 042822'!$F$26</definedName>
    <definedName name="QB_ROW_264250" localSheetId="1" hidden="1">'App Bud for Input'!$F$26</definedName>
    <definedName name="QB_ROW_264250" localSheetId="0" hidden="1">'Approved Budget'!$F$26</definedName>
    <definedName name="QB_ROW_264250" localSheetId="5" hidden="1">'For Trustee 061422'!$F$26</definedName>
    <definedName name="QB_ROW_264250" localSheetId="7" hidden="1">'For Trustees 050522'!$F$26</definedName>
    <definedName name="QB_ROW_264250" localSheetId="2" hidden="1">'For Trustees 071222 '!$F$26</definedName>
    <definedName name="QB_ROW_264250" localSheetId="8" hidden="1">'Working Copy 050522'!$F$26</definedName>
    <definedName name="QB_ROW_264250" localSheetId="6" hidden="1">'Working Copy 061422'!$F$26</definedName>
    <definedName name="QB_ROW_264250" localSheetId="3" hidden="1">'Working Copy 071222'!$F$26</definedName>
    <definedName name="QB_ROW_27040" localSheetId="10" hidden="1">'060421 For Trustees Prior Year '!$D$15</definedName>
    <definedName name="QB_ROW_27040" localSheetId="9" hidden="1">'Ad Downloaded 042822'!$E$16</definedName>
    <definedName name="QB_ROW_27040" localSheetId="1" hidden="1">'App Bud for Input'!$E$16</definedName>
    <definedName name="QB_ROW_27040" localSheetId="0" hidden="1">'Approved Budget'!$E$16</definedName>
    <definedName name="QB_ROW_27040" localSheetId="5" hidden="1">'For Trustee 061422'!$E$16</definedName>
    <definedName name="QB_ROW_27040" localSheetId="7" hidden="1">'For Trustees 050522'!$E$16</definedName>
    <definedName name="QB_ROW_27040" localSheetId="2" hidden="1">'For Trustees 071222 '!$E$16</definedName>
    <definedName name="QB_ROW_27040" localSheetId="8" hidden="1">'Working Copy 050522'!$E$16</definedName>
    <definedName name="QB_ROW_27040" localSheetId="6" hidden="1">'Working Copy 061422'!$E$16</definedName>
    <definedName name="QB_ROW_27040" localSheetId="3" hidden="1">'Working Copy 071222'!$E$16</definedName>
    <definedName name="QB_ROW_27340" localSheetId="10" hidden="1">'060421 For Trustees Prior Year '!$D$21</definedName>
    <definedName name="QB_ROW_27340" localSheetId="9" hidden="1">'Ad Downloaded 042822'!$E$22</definedName>
    <definedName name="QB_ROW_27340" localSheetId="1" hidden="1">'App Bud for Input'!$E$22</definedName>
    <definedName name="QB_ROW_27340" localSheetId="0" hidden="1">'Approved Budget'!$E$22</definedName>
    <definedName name="QB_ROW_27340" localSheetId="5" hidden="1">'For Trustee 061422'!$E$22</definedName>
    <definedName name="QB_ROW_27340" localSheetId="7" hidden="1">'For Trustees 050522'!$E$22</definedName>
    <definedName name="QB_ROW_27340" localSheetId="2" hidden="1">'For Trustees 071222 '!$E$22</definedName>
    <definedName name="QB_ROW_27340" localSheetId="8" hidden="1">'Working Copy 050522'!$E$22</definedName>
    <definedName name="QB_ROW_27340" localSheetId="6" hidden="1">'Working Copy 061422'!$E$22</definedName>
    <definedName name="QB_ROW_27340" localSheetId="3" hidden="1">'Working Copy 071222'!$E$22</definedName>
    <definedName name="QB_ROW_29250" localSheetId="10" hidden="1">'060421 For Trustees Prior Year '!$E$8</definedName>
    <definedName name="QB_ROW_29250" localSheetId="9" hidden="1">'Ad Downloaded 042822'!$F$9</definedName>
    <definedName name="QB_ROW_29250" localSheetId="1" hidden="1">'App Bud for Input'!$F$9</definedName>
    <definedName name="QB_ROW_29250" localSheetId="0" hidden="1">'Approved Budget'!$F$9</definedName>
    <definedName name="QB_ROW_29250" localSheetId="5" hidden="1">'For Trustee 061422'!$F$9</definedName>
    <definedName name="QB_ROW_29250" localSheetId="7" hidden="1">'For Trustees 050522'!$F$9</definedName>
    <definedName name="QB_ROW_29250" localSheetId="2" hidden="1">'For Trustees 071222 '!$F$9</definedName>
    <definedName name="QB_ROW_29250" localSheetId="8" hidden="1">'Working Copy 050522'!$F$9</definedName>
    <definedName name="QB_ROW_29250" localSheetId="6" hidden="1">'Working Copy 061422'!$F$9</definedName>
    <definedName name="QB_ROW_29250" localSheetId="3" hidden="1">'Working Copy 071222'!$F$9</definedName>
    <definedName name="QB_ROW_30250" localSheetId="10" hidden="1">'060421 For Trustees Prior Year '!$E$7</definedName>
    <definedName name="QB_ROW_30250" localSheetId="9" hidden="1">'Ad Downloaded 042822'!$F$8</definedName>
    <definedName name="QB_ROW_30250" localSheetId="1" hidden="1">'App Bud for Input'!$F$8</definedName>
    <definedName name="QB_ROW_30250" localSheetId="0" hidden="1">'Approved Budget'!$F$8</definedName>
    <definedName name="QB_ROW_30250" localSheetId="5" hidden="1">'For Trustee 061422'!$F$8</definedName>
    <definedName name="QB_ROW_30250" localSheetId="7" hidden="1">'For Trustees 050522'!$F$8</definedName>
    <definedName name="QB_ROW_30250" localSheetId="2" hidden="1">'For Trustees 071222 '!$F$8</definedName>
    <definedName name="QB_ROW_30250" localSheetId="8" hidden="1">'Working Copy 050522'!$F$8</definedName>
    <definedName name="QB_ROW_30250" localSheetId="6" hidden="1">'Working Copy 061422'!$F$8</definedName>
    <definedName name="QB_ROW_30250" localSheetId="3" hidden="1">'Working Copy 071222'!$F$8</definedName>
    <definedName name="QB_ROW_31250" localSheetId="9" hidden="1">'Ad Downloaded 042822'!$F$7</definedName>
    <definedName name="QB_ROW_31250" localSheetId="1" hidden="1">'App Bud for Input'!$F$7</definedName>
    <definedName name="QB_ROW_31250" localSheetId="0" hidden="1">'Approved Budget'!$F$7</definedName>
    <definedName name="QB_ROW_31250" localSheetId="5" hidden="1">'For Trustee 061422'!$F$7</definedName>
    <definedName name="QB_ROW_31250" localSheetId="7" hidden="1">'For Trustees 050522'!$F$7</definedName>
    <definedName name="QB_ROW_31250" localSheetId="2" hidden="1">'For Trustees 071222 '!$F$7</definedName>
    <definedName name="QB_ROW_31250" localSheetId="8" hidden="1">'Working Copy 050522'!$F$7</definedName>
    <definedName name="QB_ROW_31250" localSheetId="6" hidden="1">'Working Copy 061422'!$F$7</definedName>
    <definedName name="QB_ROW_31250" localSheetId="3" hidden="1">'Working Copy 071222'!$F$7</definedName>
    <definedName name="QB_ROW_32250" localSheetId="10" hidden="1">'060421 For Trustees Prior Year '!$E$6</definedName>
    <definedName name="QB_ROW_32250" localSheetId="9" hidden="1">'Ad Downloaded 042822'!$F$6</definedName>
    <definedName name="QB_ROW_32250" localSheetId="1" hidden="1">'App Bud for Input'!$F$6</definedName>
    <definedName name="QB_ROW_32250" localSheetId="0" hidden="1">'Approved Budget'!$F$6</definedName>
    <definedName name="QB_ROW_32250" localSheetId="5" hidden="1">'For Trustee 061422'!$F$6</definedName>
    <definedName name="QB_ROW_32250" localSheetId="7" hidden="1">'For Trustees 050522'!$F$6</definedName>
    <definedName name="QB_ROW_32250" localSheetId="2" hidden="1">'For Trustees 071222 '!$F$6</definedName>
    <definedName name="QB_ROW_32250" localSheetId="8" hidden="1">'Working Copy 050522'!$F$6</definedName>
    <definedName name="QB_ROW_32250" localSheetId="6" hidden="1">'Working Copy 061422'!$F$6</definedName>
    <definedName name="QB_ROW_32250" localSheetId="3" hidden="1">'Working Copy 071222'!$F$6</definedName>
    <definedName name="QB_ROW_34250" localSheetId="10" hidden="1">'060421 For Trustees Prior Year '!$E$5</definedName>
    <definedName name="QB_ROW_34250" localSheetId="9" hidden="1">'Ad Downloaded 042822'!$F$5</definedName>
    <definedName name="QB_ROW_34250" localSheetId="1" hidden="1">'App Bud for Input'!$F$5</definedName>
    <definedName name="QB_ROW_34250" localSheetId="0" hidden="1">'Approved Budget'!$F$5</definedName>
    <definedName name="QB_ROW_34250" localSheetId="5" hidden="1">'For Trustee 061422'!$F$5</definedName>
    <definedName name="QB_ROW_34250" localSheetId="7" hidden="1">'For Trustees 050522'!$F$5</definedName>
    <definedName name="QB_ROW_34250" localSheetId="2" hidden="1">'For Trustees 071222 '!$F$5</definedName>
    <definedName name="QB_ROW_34250" localSheetId="8" hidden="1">'Working Copy 050522'!$F$5</definedName>
    <definedName name="QB_ROW_34250" localSheetId="6" hidden="1">'Working Copy 061422'!$F$5</definedName>
    <definedName name="QB_ROW_34250" localSheetId="3" hidden="1">'Working Copy 071222'!$F$5</definedName>
    <definedName name="QB_ROW_39260" localSheetId="10" hidden="1">'060421 For Trustees Prior Year '!$F$64</definedName>
    <definedName name="QB_ROW_39260" localSheetId="9" hidden="1">'Ad Downloaded 042822'!$G$64</definedName>
    <definedName name="QB_ROW_39260" localSheetId="1" hidden="1">'App Bud for Input'!$G$67</definedName>
    <definedName name="QB_ROW_39260" localSheetId="0" hidden="1">'Approved Budget'!$G$67</definedName>
    <definedName name="QB_ROW_39260" localSheetId="5" hidden="1">'For Trustee 061422'!$G$67</definedName>
    <definedName name="QB_ROW_39260" localSheetId="7" hidden="1">'For Trustees 050522'!$G$67</definedName>
    <definedName name="QB_ROW_39260" localSheetId="2" hidden="1">'For Trustees 071222 '!$G$67</definedName>
    <definedName name="QB_ROW_39260" localSheetId="8" hidden="1">'Working Copy 050522'!$G$65</definedName>
    <definedName name="QB_ROW_39260" localSheetId="6" hidden="1">'Working Copy 061422'!$G$67</definedName>
    <definedName name="QB_ROW_39260" localSheetId="3" hidden="1">'Working Copy 071222'!$G$67</definedName>
    <definedName name="QB_ROW_40260" localSheetId="10" hidden="1">'060421 For Trustees Prior Year '!$F$51</definedName>
    <definedName name="QB_ROW_40260" localSheetId="9" hidden="1">'Ad Downloaded 042822'!$G$51</definedName>
    <definedName name="QB_ROW_40260" localSheetId="1" hidden="1">'App Bud for Input'!$G$54</definedName>
    <definedName name="QB_ROW_40260" localSheetId="0" hidden="1">'Approved Budget'!$G$54</definedName>
    <definedName name="QB_ROW_40260" localSheetId="5" hidden="1">'For Trustee 061422'!$G$54</definedName>
    <definedName name="QB_ROW_40260" localSheetId="7" hidden="1">'For Trustees 050522'!$G$54</definedName>
    <definedName name="QB_ROW_40260" localSheetId="2" hidden="1">'For Trustees 071222 '!$G$54</definedName>
    <definedName name="QB_ROW_40260" localSheetId="8" hidden="1">'Working Copy 050522'!$G$52</definedName>
    <definedName name="QB_ROW_40260" localSheetId="6" hidden="1">'Working Copy 061422'!$G$54</definedName>
    <definedName name="QB_ROW_40260" localSheetId="3" hidden="1">'Working Copy 071222'!$G$54</definedName>
    <definedName name="QB_ROW_41040" localSheetId="10" hidden="1">'060421 For Trustees Prior Year '!$D$69</definedName>
    <definedName name="QB_ROW_41040" localSheetId="9" hidden="1">'Ad Downloaded 042822'!$E$68</definedName>
    <definedName name="QB_ROW_41040" localSheetId="1" hidden="1">'App Bud for Input'!$E$72</definedName>
    <definedName name="QB_ROW_41040" localSheetId="0" hidden="1">'Approved Budget'!$E$72</definedName>
    <definedName name="QB_ROW_41040" localSheetId="5" hidden="1">'For Trustee 061422'!$E$72</definedName>
    <definedName name="QB_ROW_41040" localSheetId="7" hidden="1">'For Trustees 050522'!$E$72</definedName>
    <definedName name="QB_ROW_41040" localSheetId="2" hidden="1">'For Trustees 071222 '!$E$72</definedName>
    <definedName name="QB_ROW_41040" localSheetId="8" hidden="1">'Working Copy 050522'!$E$70</definedName>
    <definedName name="QB_ROW_41040" localSheetId="6" hidden="1">'Working Copy 061422'!$E$72</definedName>
    <definedName name="QB_ROW_41040" localSheetId="3" hidden="1">'Working Copy 071222'!$E$72</definedName>
    <definedName name="QB_ROW_41340" localSheetId="10" hidden="1">'060421 For Trustees Prior Year '!$D$149</definedName>
    <definedName name="QB_ROW_41340" localSheetId="9" hidden="1">'Ad Downloaded 042822'!$E$116</definedName>
    <definedName name="QB_ROW_41340" localSheetId="1" hidden="1">'App Bud for Input'!$E$149</definedName>
    <definedName name="QB_ROW_41340" localSheetId="0" hidden="1">'Approved Budget'!$E$149</definedName>
    <definedName name="QB_ROW_41340" localSheetId="5" hidden="1">'For Trustee 061422'!$E$149</definedName>
    <definedName name="QB_ROW_41340" localSheetId="7" hidden="1">'For Trustees 050522'!$E$149</definedName>
    <definedName name="QB_ROW_41340" localSheetId="2" hidden="1">'For Trustees 071222 '!$E$149</definedName>
    <definedName name="QB_ROW_41340" localSheetId="8" hidden="1">'Working Copy 050522'!$E$121</definedName>
    <definedName name="QB_ROW_41340" localSheetId="6" hidden="1">'Working Copy 061422'!$E$149</definedName>
    <definedName name="QB_ROW_41340" localSheetId="3" hidden="1">'Working Copy 071222'!$E$149</definedName>
    <definedName name="QB_ROW_42260" localSheetId="10" hidden="1">'060421 For Trustees Prior Year '!$F$94</definedName>
    <definedName name="QB_ROW_42260" localSheetId="9" hidden="1">'Ad Downloaded 042822'!$G$75</definedName>
    <definedName name="QB_ROW_42260" localSheetId="1" hidden="1">'App Bud for Input'!$G$94</definedName>
    <definedName name="QB_ROW_42260" localSheetId="0" hidden="1">'Approved Budget'!$G$94</definedName>
    <definedName name="QB_ROW_42260" localSheetId="5" hidden="1">'For Trustee 061422'!$G$94</definedName>
    <definedName name="QB_ROW_42260" localSheetId="7" hidden="1">'For Trustees 050522'!$G$94</definedName>
    <definedName name="QB_ROW_42260" localSheetId="2" hidden="1">'For Trustees 071222 '!$G$94</definedName>
    <definedName name="QB_ROW_42260" localSheetId="8" hidden="1">'Working Copy 050522'!$G$77</definedName>
    <definedName name="QB_ROW_42260" localSheetId="6" hidden="1">'Working Copy 061422'!$G$94</definedName>
    <definedName name="QB_ROW_42260" localSheetId="3" hidden="1">'Working Copy 071222'!$G$94</definedName>
    <definedName name="QB_ROW_43040" localSheetId="10" hidden="1">'060421 For Trustees Prior Year '!$D$40</definedName>
    <definedName name="QB_ROW_43040" localSheetId="9" hidden="1">'Ad Downloaded 042822'!$E$40</definedName>
    <definedName name="QB_ROW_43040" localSheetId="1" hidden="1">'App Bud for Input'!$E$41</definedName>
    <definedName name="QB_ROW_43040" localSheetId="0" hidden="1">'Approved Budget'!$E$41</definedName>
    <definedName name="QB_ROW_43040" localSheetId="5" hidden="1">'For Trustee 061422'!$E$41</definedName>
    <definedName name="QB_ROW_43040" localSheetId="7" hidden="1">'For Trustees 050522'!$E$41</definedName>
    <definedName name="QB_ROW_43040" localSheetId="2" hidden="1">'For Trustees 071222 '!$E$41</definedName>
    <definedName name="QB_ROW_43040" localSheetId="8" hidden="1">'Working Copy 050522'!$E$41</definedName>
    <definedName name="QB_ROW_43040" localSheetId="6" hidden="1">'Working Copy 061422'!$E$41</definedName>
    <definedName name="QB_ROW_43040" localSheetId="3" hidden="1">'Working Copy 071222'!$E$41</definedName>
    <definedName name="QB_ROW_43340" localSheetId="10" hidden="1">'060421 For Trustees Prior Year '!$D$68</definedName>
    <definedName name="QB_ROW_43340" localSheetId="9" hidden="1">'Ad Downloaded 042822'!$E$67</definedName>
    <definedName name="QB_ROW_43340" localSheetId="1" hidden="1">'App Bud for Input'!$E$71</definedName>
    <definedName name="QB_ROW_43340" localSheetId="0" hidden="1">'Approved Budget'!$E$71</definedName>
    <definedName name="QB_ROW_43340" localSheetId="5" hidden="1">'For Trustee 061422'!$E$71</definedName>
    <definedName name="QB_ROW_43340" localSheetId="7" hidden="1">'For Trustees 050522'!$E$71</definedName>
    <definedName name="QB_ROW_43340" localSheetId="2" hidden="1">'For Trustees 071222 '!$E$71</definedName>
    <definedName name="QB_ROW_43340" localSheetId="8" hidden="1">'Working Copy 050522'!$E$69</definedName>
    <definedName name="QB_ROW_43340" localSheetId="6" hidden="1">'Working Copy 061422'!$E$71</definedName>
    <definedName name="QB_ROW_43340" localSheetId="3" hidden="1">'Working Copy 071222'!$E$71</definedName>
    <definedName name="QB_ROW_44260" localSheetId="10" hidden="1">'060421 For Trustees Prior Year '!$F$95</definedName>
    <definedName name="QB_ROW_44260" localSheetId="9" hidden="1">'Ad Downloaded 042822'!$G$76</definedName>
    <definedName name="QB_ROW_44260" localSheetId="1" hidden="1">'App Bud for Input'!$G$95</definedName>
    <definedName name="QB_ROW_44260" localSheetId="0" hidden="1">'Approved Budget'!$G$95</definedName>
    <definedName name="QB_ROW_44260" localSheetId="5" hidden="1">'For Trustee 061422'!$G$95</definedName>
    <definedName name="QB_ROW_44260" localSheetId="7" hidden="1">'For Trustees 050522'!$G$95</definedName>
    <definedName name="QB_ROW_44260" localSheetId="2" hidden="1">'For Trustees 071222 '!$G$95</definedName>
    <definedName name="QB_ROW_44260" localSheetId="8" hidden="1">'Working Copy 050522'!$G$78</definedName>
    <definedName name="QB_ROW_44260" localSheetId="6" hidden="1">'Working Copy 061422'!$G$95</definedName>
    <definedName name="QB_ROW_44260" localSheetId="3" hidden="1">'Working Copy 071222'!$G$95</definedName>
    <definedName name="QB_ROW_46260" localSheetId="10" hidden="1">'060421 For Trustees Prior Year '!$F$71</definedName>
    <definedName name="QB_ROW_46260" localSheetId="9" hidden="1">'Ad Downloaded 042822'!$G$70</definedName>
    <definedName name="QB_ROW_46260" localSheetId="1" hidden="1">'App Bud for Input'!$G$74</definedName>
    <definedName name="QB_ROW_46260" localSheetId="0" hidden="1">'Approved Budget'!$G$74</definedName>
    <definedName name="QB_ROW_46260" localSheetId="5" hidden="1">'For Trustee 061422'!$G$74</definedName>
    <definedName name="QB_ROW_46260" localSheetId="7" hidden="1">'For Trustees 050522'!$G$74</definedName>
    <definedName name="QB_ROW_46260" localSheetId="2" hidden="1">'For Trustees 071222 '!$G$74</definedName>
    <definedName name="QB_ROW_46260" localSheetId="8" hidden="1">'Working Copy 050522'!$G$72</definedName>
    <definedName name="QB_ROW_46260" localSheetId="6" hidden="1">'Working Copy 061422'!$G$74</definedName>
    <definedName name="QB_ROW_46260" localSheetId="3" hidden="1">'Working Copy 071222'!$G$74</definedName>
    <definedName name="QB_ROW_47260" localSheetId="10" hidden="1">'060421 For Trustees Prior Year '!$F$97</definedName>
    <definedName name="QB_ROW_47260" localSheetId="9" hidden="1">'Ad Downloaded 042822'!$G$78</definedName>
    <definedName name="QB_ROW_47260" localSheetId="1" hidden="1">'App Bud for Input'!$G$97</definedName>
    <definedName name="QB_ROW_47260" localSheetId="0" hidden="1">'Approved Budget'!$G$97</definedName>
    <definedName name="QB_ROW_47260" localSheetId="5" hidden="1">'For Trustee 061422'!$G$97</definedName>
    <definedName name="QB_ROW_47260" localSheetId="7" hidden="1">'For Trustees 050522'!$G$97</definedName>
    <definedName name="QB_ROW_47260" localSheetId="2" hidden="1">'For Trustees 071222 '!$G$97</definedName>
    <definedName name="QB_ROW_47260" localSheetId="8" hidden="1">'Working Copy 050522'!$G$80</definedName>
    <definedName name="QB_ROW_47260" localSheetId="6" hidden="1">'Working Copy 061422'!$G$97</definedName>
    <definedName name="QB_ROW_47260" localSheetId="3" hidden="1">'Working Copy 071222'!$G$97</definedName>
    <definedName name="QB_ROW_48260" localSheetId="10" hidden="1">'060421 For Trustees Prior Year '!$F$137</definedName>
    <definedName name="QB_ROW_48260" localSheetId="9" hidden="1">'Ad Downloaded 042822'!$G$105</definedName>
    <definedName name="QB_ROW_48260" localSheetId="1" hidden="1">'App Bud for Input'!$G$137</definedName>
    <definedName name="QB_ROW_48260" localSheetId="0" hidden="1">'Approved Budget'!$G$137</definedName>
    <definedName name="QB_ROW_48260" localSheetId="5" hidden="1">'For Trustee 061422'!$G$137</definedName>
    <definedName name="QB_ROW_48260" localSheetId="7" hidden="1">'For Trustees 050522'!$G$137</definedName>
    <definedName name="QB_ROW_48260" localSheetId="2" hidden="1">'For Trustees 071222 '!$G$137</definedName>
    <definedName name="QB_ROW_48260" localSheetId="8" hidden="1">'Working Copy 050522'!$G$109</definedName>
    <definedName name="QB_ROW_48260" localSheetId="6" hidden="1">'Working Copy 061422'!$G$137</definedName>
    <definedName name="QB_ROW_48260" localSheetId="3" hidden="1">'Working Copy 071222'!$G$137</definedName>
    <definedName name="QB_ROW_49360" localSheetId="10" hidden="1">'060421 For Trustees Prior Year '!$F$139</definedName>
    <definedName name="QB_ROW_49360" localSheetId="9" hidden="1">'Ad Downloaded 042822'!$G$107</definedName>
    <definedName name="QB_ROW_49360" localSheetId="1" hidden="1">'App Bud for Input'!$G$139</definedName>
    <definedName name="QB_ROW_49360" localSheetId="0" hidden="1">'Approved Budget'!$G$139</definedName>
    <definedName name="QB_ROW_49360" localSheetId="5" hidden="1">'For Trustee 061422'!$G$139</definedName>
    <definedName name="QB_ROW_49360" localSheetId="7" hidden="1">'For Trustees 050522'!$G$139</definedName>
    <definedName name="QB_ROW_49360" localSheetId="2" hidden="1">'For Trustees 071222 '!$G$139</definedName>
    <definedName name="QB_ROW_49360" localSheetId="8" hidden="1">'Working Copy 050522'!$G$111</definedName>
    <definedName name="QB_ROW_49360" localSheetId="6" hidden="1">'Working Copy 061422'!$G$139</definedName>
    <definedName name="QB_ROW_49360" localSheetId="3" hidden="1">'Working Copy 071222'!$G$139</definedName>
    <definedName name="QB_ROW_50260" localSheetId="10" hidden="1">'060421 For Trustees Prior Year '!$F$98</definedName>
    <definedName name="QB_ROW_50260" localSheetId="9" hidden="1">'Ad Downloaded 042822'!$G$79</definedName>
    <definedName name="QB_ROW_50260" localSheetId="1" hidden="1">'App Bud for Input'!$G$98</definedName>
    <definedName name="QB_ROW_50260" localSheetId="0" hidden="1">'Approved Budget'!$G$98</definedName>
    <definedName name="QB_ROW_50260" localSheetId="5" hidden="1">'For Trustee 061422'!$G$98</definedName>
    <definedName name="QB_ROW_50260" localSheetId="7" hidden="1">'For Trustees 050522'!$G$98</definedName>
    <definedName name="QB_ROW_50260" localSheetId="2" hidden="1">'For Trustees 071222 '!$G$98</definedName>
    <definedName name="QB_ROW_50260" localSheetId="8" hidden="1">'Working Copy 050522'!$G$81</definedName>
    <definedName name="QB_ROW_50260" localSheetId="6" hidden="1">'Working Copy 061422'!$G$98</definedName>
    <definedName name="QB_ROW_50260" localSheetId="3" hidden="1">'Working Copy 071222'!$G$98</definedName>
    <definedName name="QB_ROW_51260" localSheetId="10" hidden="1">'060421 For Trustees Prior Year '!$F$141</definedName>
    <definedName name="QB_ROW_51260" localSheetId="9" hidden="1">'Ad Downloaded 042822'!$G$109</definedName>
    <definedName name="QB_ROW_51260" localSheetId="1" hidden="1">'App Bud for Input'!$G$141</definedName>
    <definedName name="QB_ROW_51260" localSheetId="0" hidden="1">'Approved Budget'!$G$141</definedName>
    <definedName name="QB_ROW_51260" localSheetId="5" hidden="1">'For Trustee 061422'!$G$141</definedName>
    <definedName name="QB_ROW_51260" localSheetId="7" hidden="1">'For Trustees 050522'!$G$141</definedName>
    <definedName name="QB_ROW_51260" localSheetId="2" hidden="1">'For Trustees 071222 '!$G$141</definedName>
    <definedName name="QB_ROW_51260" localSheetId="8" hidden="1">'Working Copy 050522'!$G$113</definedName>
    <definedName name="QB_ROW_51260" localSheetId="6" hidden="1">'Working Copy 061422'!$G$141</definedName>
    <definedName name="QB_ROW_51260" localSheetId="3" hidden="1">'Working Copy 071222'!$G$141</definedName>
    <definedName name="QB_ROW_52260" localSheetId="10" hidden="1">'060421 For Trustees Prior Year '!$F$100</definedName>
    <definedName name="QB_ROW_52260" localSheetId="9" hidden="1">'Ad Downloaded 042822'!$G$81</definedName>
    <definedName name="QB_ROW_52260" localSheetId="1" hidden="1">'App Bud for Input'!$G$100</definedName>
    <definedName name="QB_ROW_52260" localSheetId="0" hidden="1">'Approved Budget'!$G$100</definedName>
    <definedName name="QB_ROW_52260" localSheetId="5" hidden="1">'For Trustee 061422'!$G$100</definedName>
    <definedName name="QB_ROW_52260" localSheetId="7" hidden="1">'For Trustees 050522'!$G$100</definedName>
    <definedName name="QB_ROW_52260" localSheetId="2" hidden="1">'For Trustees 071222 '!$G$100</definedName>
    <definedName name="QB_ROW_52260" localSheetId="8" hidden="1">'Working Copy 050522'!$G$83</definedName>
    <definedName name="QB_ROW_52260" localSheetId="6" hidden="1">'Working Copy 061422'!$G$100</definedName>
    <definedName name="QB_ROW_52260" localSheetId="3" hidden="1">'Working Copy 071222'!$G$100</definedName>
    <definedName name="QB_ROW_53260" localSheetId="10" hidden="1">'060421 For Trustees Prior Year '!$F$102</definedName>
    <definedName name="QB_ROW_53260" localSheetId="9" hidden="1">'Ad Downloaded 042822'!$G$83</definedName>
    <definedName name="QB_ROW_53260" localSheetId="1" hidden="1">'App Bud for Input'!$G$102</definedName>
    <definedName name="QB_ROW_53260" localSheetId="0" hidden="1">'Approved Budget'!$G$102</definedName>
    <definedName name="QB_ROW_53260" localSheetId="5" hidden="1">'For Trustee 061422'!$G$102</definedName>
    <definedName name="QB_ROW_53260" localSheetId="7" hidden="1">'For Trustees 050522'!$G$102</definedName>
    <definedName name="QB_ROW_53260" localSheetId="2" hidden="1">'For Trustees 071222 '!$G$102</definedName>
    <definedName name="QB_ROW_53260" localSheetId="8" hidden="1">'Working Copy 050522'!$G$85</definedName>
    <definedName name="QB_ROW_53260" localSheetId="6" hidden="1">'Working Copy 061422'!$G$102</definedName>
    <definedName name="QB_ROW_53260" localSheetId="3" hidden="1">'Working Copy 071222'!$G$102</definedName>
    <definedName name="QB_ROW_55260" localSheetId="10" hidden="1">'060421 For Trustees Prior Year '!$F$106</definedName>
    <definedName name="QB_ROW_55260" localSheetId="9" hidden="1">'Ad Downloaded 042822'!$G$87</definedName>
    <definedName name="QB_ROW_55260" localSheetId="1" hidden="1">'App Bud for Input'!$G$106</definedName>
    <definedName name="QB_ROW_55260" localSheetId="0" hidden="1">'Approved Budget'!$G$106</definedName>
    <definedName name="QB_ROW_55260" localSheetId="5" hidden="1">'For Trustee 061422'!$G$106</definedName>
    <definedName name="QB_ROW_55260" localSheetId="7" hidden="1">'For Trustees 050522'!$G$106</definedName>
    <definedName name="QB_ROW_55260" localSheetId="2" hidden="1">'For Trustees 071222 '!$G$106</definedName>
    <definedName name="QB_ROW_55260" localSheetId="8" hidden="1">'Working Copy 050522'!$G$89</definedName>
    <definedName name="QB_ROW_55260" localSheetId="6" hidden="1">'Working Copy 061422'!$G$106</definedName>
    <definedName name="QB_ROW_55260" localSheetId="3" hidden="1">'Working Copy 071222'!$G$106</definedName>
    <definedName name="QB_ROW_56260" localSheetId="10" hidden="1">'060421 For Trustees Prior Year '!$F$109</definedName>
    <definedName name="QB_ROW_56260" localSheetId="9" hidden="1">'Ad Downloaded 042822'!$G$90</definedName>
    <definedName name="QB_ROW_56260" localSheetId="1" hidden="1">'App Bud for Input'!$G$109</definedName>
    <definedName name="QB_ROW_56260" localSheetId="0" hidden="1">'Approved Budget'!$G$109</definedName>
    <definedName name="QB_ROW_56260" localSheetId="5" hidden="1">'For Trustee 061422'!$G$109</definedName>
    <definedName name="QB_ROW_56260" localSheetId="7" hidden="1">'For Trustees 050522'!$G$109</definedName>
    <definedName name="QB_ROW_56260" localSheetId="2" hidden="1">'For Trustees 071222 '!$G$109</definedName>
    <definedName name="QB_ROW_56260" localSheetId="8" hidden="1">'Working Copy 050522'!$G$92</definedName>
    <definedName name="QB_ROW_56260" localSheetId="6" hidden="1">'Working Copy 061422'!$G$109</definedName>
    <definedName name="QB_ROW_56260" localSheetId="3" hidden="1">'Working Copy 071222'!$G$109</definedName>
    <definedName name="QB_ROW_58260" localSheetId="10" hidden="1">'060421 For Trustees Prior Year '!$F$112</definedName>
    <definedName name="QB_ROW_58260" localSheetId="9" hidden="1">'Ad Downloaded 042822'!$G$92</definedName>
    <definedName name="QB_ROW_58260" localSheetId="1" hidden="1">'App Bud for Input'!$G$112</definedName>
    <definedName name="QB_ROW_58260" localSheetId="0" hidden="1">'Approved Budget'!$G$112</definedName>
    <definedName name="QB_ROW_58260" localSheetId="5" hidden="1">'For Trustee 061422'!$G$112</definedName>
    <definedName name="QB_ROW_58260" localSheetId="7" hidden="1">'For Trustees 050522'!$G$112</definedName>
    <definedName name="QB_ROW_58260" localSheetId="2" hidden="1">'For Trustees 071222 '!$G$112</definedName>
    <definedName name="QB_ROW_58260" localSheetId="8" hidden="1">'Working Copy 050522'!$G$95</definedName>
    <definedName name="QB_ROW_58260" localSheetId="6" hidden="1">'Working Copy 061422'!$G$112</definedName>
    <definedName name="QB_ROW_58260" localSheetId="3" hidden="1">'Working Copy 071222'!$G$112</definedName>
    <definedName name="QB_ROW_61260" localSheetId="10" hidden="1">'060421 For Trustees Prior Year '!$F$144</definedName>
    <definedName name="QB_ROW_61260" localSheetId="9" hidden="1">'Ad Downloaded 042822'!$G$111</definedName>
    <definedName name="QB_ROW_61260" localSheetId="1" hidden="1">'App Bud for Input'!$G$144</definedName>
    <definedName name="QB_ROW_61260" localSheetId="0" hidden="1">'Approved Budget'!$G$144</definedName>
    <definedName name="QB_ROW_61260" localSheetId="5" hidden="1">'For Trustee 061422'!$G$144</definedName>
    <definedName name="QB_ROW_61260" localSheetId="7" hidden="1">'For Trustees 050522'!$G$144</definedName>
    <definedName name="QB_ROW_61260" localSheetId="2" hidden="1">'For Trustees 071222 '!$G$144</definedName>
    <definedName name="QB_ROW_61260" localSheetId="8" hidden="1">'Working Copy 050522'!$G$116</definedName>
    <definedName name="QB_ROW_61260" localSheetId="6" hidden="1">'Working Copy 061422'!$G$144</definedName>
    <definedName name="QB_ROW_61260" localSheetId="3" hidden="1">'Working Copy 071222'!$G$144</definedName>
    <definedName name="QB_ROW_62260" localSheetId="10" hidden="1">'060421 For Trustees Prior Year '!$F$115</definedName>
    <definedName name="QB_ROW_62260" localSheetId="9" hidden="1">'Ad Downloaded 042822'!$G$95</definedName>
    <definedName name="QB_ROW_62260" localSheetId="1" hidden="1">'App Bud for Input'!$G$115</definedName>
    <definedName name="QB_ROW_62260" localSheetId="0" hidden="1">'Approved Budget'!$G$115</definedName>
    <definedName name="QB_ROW_62260" localSheetId="5" hidden="1">'For Trustee 061422'!$G$115</definedName>
    <definedName name="QB_ROW_62260" localSheetId="7" hidden="1">'For Trustees 050522'!$G$115</definedName>
    <definedName name="QB_ROW_62260" localSheetId="2" hidden="1">'For Trustees 071222 '!$G$115</definedName>
    <definedName name="QB_ROW_62260" localSheetId="8" hidden="1">'Working Copy 050522'!$G$98</definedName>
    <definedName name="QB_ROW_62260" localSheetId="6" hidden="1">'Working Copy 061422'!$G$115</definedName>
    <definedName name="QB_ROW_62260" localSheetId="3" hidden="1">'Working Copy 071222'!$G$115</definedName>
    <definedName name="QB_ROW_6260" localSheetId="10" hidden="1">'060421 For Trustees Prior Year '!$F$56</definedName>
    <definedName name="QB_ROW_6260" localSheetId="9" hidden="1">'Ad Downloaded 042822'!$G$56</definedName>
    <definedName name="QB_ROW_6260" localSheetId="1" hidden="1">'App Bud for Input'!$G$59</definedName>
    <definedName name="QB_ROW_6260" localSheetId="0" hidden="1">'Approved Budget'!$G$59</definedName>
    <definedName name="QB_ROW_6260" localSheetId="5" hidden="1">'For Trustee 061422'!$G$59</definedName>
    <definedName name="QB_ROW_6260" localSheetId="7" hidden="1">'For Trustees 050522'!$G$59</definedName>
    <definedName name="QB_ROW_6260" localSheetId="2" hidden="1">'For Trustees 071222 '!$G$59</definedName>
    <definedName name="QB_ROW_6260" localSheetId="8" hidden="1">'Working Copy 050522'!$G$57</definedName>
    <definedName name="QB_ROW_6260" localSheetId="6" hidden="1">'Working Copy 061422'!$G$59</definedName>
    <definedName name="QB_ROW_6260" localSheetId="3" hidden="1">'Working Copy 071222'!$G$59</definedName>
    <definedName name="QB_ROW_65260" localSheetId="10" hidden="1">'060421 For Trustees Prior Year '!$F$119</definedName>
    <definedName name="QB_ROW_65260" localSheetId="9" hidden="1">'Ad Downloaded 042822'!$G$98</definedName>
    <definedName name="QB_ROW_65260" localSheetId="1" hidden="1">'App Bud for Input'!$G$119</definedName>
    <definedName name="QB_ROW_65260" localSheetId="0" hidden="1">'Approved Budget'!$G$119</definedName>
    <definedName name="QB_ROW_65260" localSheetId="5" hidden="1">'For Trustee 061422'!$G$119</definedName>
    <definedName name="QB_ROW_65260" localSheetId="7" hidden="1">'For Trustees 050522'!$G$119</definedName>
    <definedName name="QB_ROW_65260" localSheetId="2" hidden="1">'For Trustees 071222 '!$G$119</definedName>
    <definedName name="QB_ROW_65260" localSheetId="8" hidden="1">'Working Copy 050522'!$G$102</definedName>
    <definedName name="QB_ROW_65260" localSheetId="6" hidden="1">'Working Copy 061422'!$G$119</definedName>
    <definedName name="QB_ROW_65260" localSheetId="3" hidden="1">'Working Copy 071222'!$G$119</definedName>
    <definedName name="QB_ROW_67260" localSheetId="10" hidden="1">'060421 For Trustees Prior Year '!$F$146</definedName>
    <definedName name="QB_ROW_67260" localSheetId="9" hidden="1">'Ad Downloaded 042822'!$G$113</definedName>
    <definedName name="QB_ROW_67260" localSheetId="1" hidden="1">'App Bud for Input'!$G$146</definedName>
    <definedName name="QB_ROW_67260" localSheetId="0" hidden="1">'Approved Budget'!$G$146</definedName>
    <definedName name="QB_ROW_67260" localSheetId="5" hidden="1">'For Trustee 061422'!$G$146</definedName>
    <definedName name="QB_ROW_67260" localSheetId="7" hidden="1">'For Trustees 050522'!$G$146</definedName>
    <definedName name="QB_ROW_67260" localSheetId="2" hidden="1">'For Trustees 071222 '!$G$146</definedName>
    <definedName name="QB_ROW_67260" localSheetId="8" hidden="1">'Working Copy 050522'!$G$118</definedName>
    <definedName name="QB_ROW_67260" localSheetId="6" hidden="1">'Working Copy 061422'!$G$146</definedName>
    <definedName name="QB_ROW_67260" localSheetId="3" hidden="1">'Working Copy 071222'!$G$146</definedName>
    <definedName name="QB_ROW_68260" localSheetId="10" hidden="1">'060421 For Trustees Prior Year '!$F$117</definedName>
    <definedName name="QB_ROW_68260" localSheetId="9" hidden="1">'Ad Downloaded 042822'!$G$96</definedName>
    <definedName name="QB_ROW_68260" localSheetId="1" hidden="1">'App Bud for Input'!$G$117</definedName>
    <definedName name="QB_ROW_68260" localSheetId="0" hidden="1">'Approved Budget'!$G$117</definedName>
    <definedName name="QB_ROW_68260" localSheetId="5" hidden="1">'For Trustee 061422'!$G$117</definedName>
    <definedName name="QB_ROW_68260" localSheetId="7" hidden="1">'For Trustees 050522'!$G$117</definedName>
    <definedName name="QB_ROW_68260" localSheetId="2" hidden="1">'For Trustees 071222 '!$G$117</definedName>
    <definedName name="QB_ROW_68260" localSheetId="8" hidden="1">'Working Copy 050522'!$G$100</definedName>
    <definedName name="QB_ROW_68260" localSheetId="6" hidden="1">'Working Copy 061422'!$G$117</definedName>
    <definedName name="QB_ROW_68260" localSheetId="3" hidden="1">'Working Copy 071222'!$G$117</definedName>
    <definedName name="QB_ROW_69260" localSheetId="10" hidden="1">'060421 For Trustees Prior Year '!$F$147</definedName>
    <definedName name="QB_ROW_69260" localSheetId="9" hidden="1">'Ad Downloaded 042822'!$G$114</definedName>
    <definedName name="QB_ROW_69260" localSheetId="1" hidden="1">'App Bud for Input'!$G$147</definedName>
    <definedName name="QB_ROW_69260" localSheetId="0" hidden="1">'Approved Budget'!$G$147</definedName>
    <definedName name="QB_ROW_69260" localSheetId="5" hidden="1">'For Trustee 061422'!$G$147</definedName>
    <definedName name="QB_ROW_69260" localSheetId="7" hidden="1">'For Trustees 050522'!$G$147</definedName>
    <definedName name="QB_ROW_69260" localSheetId="2" hidden="1">'For Trustees 071222 '!$G$147</definedName>
    <definedName name="QB_ROW_69260" localSheetId="8" hidden="1">'Working Copy 050522'!$G$119</definedName>
    <definedName name="QB_ROW_69260" localSheetId="6" hidden="1">'Working Copy 061422'!$G$147</definedName>
    <definedName name="QB_ROW_69260" localSheetId="3" hidden="1">'Working Copy 071222'!$G$147</definedName>
    <definedName name="QB_ROW_70260" localSheetId="10" hidden="1">'060421 For Trustees Prior Year '!$F$118</definedName>
    <definedName name="QB_ROW_70260" localSheetId="9" hidden="1">'Ad Downloaded 042822'!$G$97</definedName>
    <definedName name="QB_ROW_70260" localSheetId="1" hidden="1">'App Bud for Input'!$G$118</definedName>
    <definedName name="QB_ROW_70260" localSheetId="0" hidden="1">'Approved Budget'!$G$118</definedName>
    <definedName name="QB_ROW_70260" localSheetId="5" hidden="1">'For Trustee 061422'!$G$118</definedName>
    <definedName name="QB_ROW_70260" localSheetId="7" hidden="1">'For Trustees 050522'!$G$118</definedName>
    <definedName name="QB_ROW_70260" localSheetId="2" hidden="1">'For Trustees 071222 '!$G$118</definedName>
    <definedName name="QB_ROW_70260" localSheetId="8" hidden="1">'Working Copy 050522'!$G$101</definedName>
    <definedName name="QB_ROW_70260" localSheetId="6" hidden="1">'Working Copy 061422'!$G$118</definedName>
    <definedName name="QB_ROW_70260" localSheetId="3" hidden="1">'Working Copy 071222'!$G$118</definedName>
    <definedName name="QB_ROW_71260" localSheetId="10" hidden="1">'060421 For Trustees Prior Year '!$F$121</definedName>
    <definedName name="QB_ROW_71260" localSheetId="9" hidden="1">'Ad Downloaded 042822'!$G$100</definedName>
    <definedName name="QB_ROW_71260" localSheetId="1" hidden="1">'App Bud for Input'!$G$121</definedName>
    <definedName name="QB_ROW_71260" localSheetId="0" hidden="1">'Approved Budget'!$G$121</definedName>
    <definedName name="QB_ROW_71260" localSheetId="5" hidden="1">'For Trustee 061422'!$G$121</definedName>
    <definedName name="QB_ROW_71260" localSheetId="7" hidden="1">'For Trustees 050522'!$G$121</definedName>
    <definedName name="QB_ROW_71260" localSheetId="2" hidden="1">'For Trustees 071222 '!$G$121</definedName>
    <definedName name="QB_ROW_71260" localSheetId="8" hidden="1">'Working Copy 050522'!$G$104</definedName>
    <definedName name="QB_ROW_71260" localSheetId="6" hidden="1">'Working Copy 061422'!$G$121</definedName>
    <definedName name="QB_ROW_71260" localSheetId="3" hidden="1">'Working Copy 071222'!$G$121</definedName>
    <definedName name="QB_ROW_72260" localSheetId="10" hidden="1">'060421 For Trustees Prior Year '!$F$72</definedName>
    <definedName name="QB_ROW_72260" localSheetId="9" hidden="1">'Ad Downloaded 042822'!$G$71</definedName>
    <definedName name="QB_ROW_72260" localSheetId="1" hidden="1">'App Bud for Input'!$G$75</definedName>
    <definedName name="QB_ROW_72260" localSheetId="0" hidden="1">'Approved Budget'!$G$75</definedName>
    <definedName name="QB_ROW_72260" localSheetId="5" hidden="1">'For Trustee 061422'!$G$75</definedName>
    <definedName name="QB_ROW_72260" localSheetId="7" hidden="1">'For Trustees 050522'!$G$75</definedName>
    <definedName name="QB_ROW_72260" localSheetId="2" hidden="1">'For Trustees 071222 '!$G$75</definedName>
    <definedName name="QB_ROW_72260" localSheetId="8" hidden="1">'Working Copy 050522'!$G$73</definedName>
    <definedName name="QB_ROW_72260" localSheetId="6" hidden="1">'Working Copy 061422'!$G$75</definedName>
    <definedName name="QB_ROW_72260" localSheetId="3" hidden="1">'Working Copy 071222'!$G$75</definedName>
    <definedName name="QB_ROW_7260" localSheetId="10" hidden="1">'060421 For Trustees Prior Year '!$F$55</definedName>
    <definedName name="QB_ROW_7260" localSheetId="9" hidden="1">'Ad Downloaded 042822'!$G$55</definedName>
    <definedName name="QB_ROW_7260" localSheetId="1" hidden="1">'App Bud for Input'!$G$58</definedName>
    <definedName name="QB_ROW_7260" localSheetId="0" hidden="1">'Approved Budget'!$G$58</definedName>
    <definedName name="QB_ROW_7260" localSheetId="5" hidden="1">'For Trustee 061422'!$G$58</definedName>
    <definedName name="QB_ROW_7260" localSheetId="7" hidden="1">'For Trustees 050522'!$G$58</definedName>
    <definedName name="QB_ROW_7260" localSheetId="2" hidden="1">'For Trustees 071222 '!$G$58</definedName>
    <definedName name="QB_ROW_7260" localSheetId="8" hidden="1">'Working Copy 050522'!$G$56</definedName>
    <definedName name="QB_ROW_7260" localSheetId="6" hidden="1">'Working Copy 061422'!$G$58</definedName>
    <definedName name="QB_ROW_7260" localSheetId="3" hidden="1">'Working Copy 071222'!$G$58</definedName>
    <definedName name="QB_ROW_74260" localSheetId="10" hidden="1">'060421 For Trustees Prior Year '!$F$123</definedName>
    <definedName name="QB_ROW_74260" localSheetId="9" hidden="1">'Ad Downloaded 042822'!$G$102</definedName>
    <definedName name="QB_ROW_74260" localSheetId="1" hidden="1">'App Bud for Input'!$G$123</definedName>
    <definedName name="QB_ROW_74260" localSheetId="0" hidden="1">'Approved Budget'!$G$123</definedName>
    <definedName name="QB_ROW_74260" localSheetId="5" hidden="1">'For Trustee 061422'!$G$123</definedName>
    <definedName name="QB_ROW_74260" localSheetId="7" hidden="1">'For Trustees 050522'!$G$123</definedName>
    <definedName name="QB_ROW_74260" localSheetId="2" hidden="1">'For Trustees 071222 '!$G$123</definedName>
    <definedName name="QB_ROW_74260" localSheetId="8" hidden="1">'Working Copy 050522'!$G$106</definedName>
    <definedName name="QB_ROW_74260" localSheetId="6" hidden="1">'Working Copy 061422'!$G$123</definedName>
    <definedName name="QB_ROW_74260" localSheetId="3" hidden="1">'Working Copy 071222'!$G$123</definedName>
    <definedName name="QB_ROW_75040" localSheetId="10" hidden="1">'060421 For Trustees Prior Year '!$D$150</definedName>
    <definedName name="QB_ROW_75040" localSheetId="9" hidden="1">'Ad Downloaded 042822'!$E$117</definedName>
    <definedName name="QB_ROW_75040" localSheetId="1" hidden="1">'App Bud for Input'!$E$150</definedName>
    <definedName name="QB_ROW_75040" localSheetId="0" hidden="1">'Approved Budget'!$E$150</definedName>
    <definedName name="QB_ROW_75040" localSheetId="5" hidden="1">'For Trustee 061422'!$E$150</definedName>
    <definedName name="QB_ROW_75040" localSheetId="7" hidden="1">'For Trustees 050522'!$E$150</definedName>
    <definedName name="QB_ROW_75040" localSheetId="2" hidden="1">'For Trustees 071222 '!$E$150</definedName>
    <definedName name="QB_ROW_75040" localSheetId="8" hidden="1">'Working Copy 050522'!$E$122</definedName>
    <definedName name="QB_ROW_75040" localSheetId="6" hidden="1">'Working Copy 061422'!$E$150</definedName>
    <definedName name="QB_ROW_75040" localSheetId="3" hidden="1">'Working Copy 071222'!$E$150</definedName>
    <definedName name="QB_ROW_75340" localSheetId="10" hidden="1">'060421 For Trustees Prior Year '!$D$155</definedName>
    <definedName name="QB_ROW_75340" localSheetId="9" hidden="1">'Ad Downloaded 042822'!$E$122</definedName>
    <definedName name="QB_ROW_75340" localSheetId="1" hidden="1">'App Bud for Input'!$E$155</definedName>
    <definedName name="QB_ROW_75340" localSheetId="0" hidden="1">'Approved Budget'!$E$155</definedName>
    <definedName name="QB_ROW_75340" localSheetId="5" hidden="1">'For Trustee 061422'!$E$155</definedName>
    <definedName name="QB_ROW_75340" localSheetId="7" hidden="1">'For Trustees 050522'!$E$155</definedName>
    <definedName name="QB_ROW_75340" localSheetId="2" hidden="1">'For Trustees 071222 '!$E$155</definedName>
    <definedName name="QB_ROW_75340" localSheetId="8" hidden="1">'Working Copy 050522'!$E$127</definedName>
    <definedName name="QB_ROW_75340" localSheetId="6" hidden="1">'Working Copy 061422'!$E$155</definedName>
    <definedName name="QB_ROW_75340" localSheetId="3" hidden="1">'Working Copy 071222'!$E$155</definedName>
    <definedName name="QB_ROW_77040" localSheetId="10" hidden="1">'060421 For Trustees Prior Year '!$D$156</definedName>
    <definedName name="QB_ROW_77040" localSheetId="9" hidden="1">'Ad Downloaded 042822'!$E$123</definedName>
    <definedName name="QB_ROW_77040" localSheetId="1" hidden="1">'App Bud for Input'!$E$156</definedName>
    <definedName name="QB_ROW_77040" localSheetId="0" hidden="1">'Approved Budget'!$E$156</definedName>
    <definedName name="QB_ROW_77040" localSheetId="5" hidden="1">'For Trustee 061422'!$E$156</definedName>
    <definedName name="QB_ROW_77040" localSheetId="7" hidden="1">'For Trustees 050522'!$E$156</definedName>
    <definedName name="QB_ROW_77040" localSheetId="2" hidden="1">'For Trustees 071222 '!$E$156</definedName>
    <definedName name="QB_ROW_77040" localSheetId="8" hidden="1">'Working Copy 050522'!$E$128</definedName>
    <definedName name="QB_ROW_77040" localSheetId="6" hidden="1">'Working Copy 061422'!$E$156</definedName>
    <definedName name="QB_ROW_77040" localSheetId="3" hidden="1">'Working Copy 071222'!$E$156</definedName>
    <definedName name="QB_ROW_77340" localSheetId="10" hidden="1">'060421 For Trustees Prior Year '!$D$171</definedName>
    <definedName name="QB_ROW_77340" localSheetId="9" hidden="1">'Ad Downloaded 042822'!$E$133</definedName>
    <definedName name="QB_ROW_77340" localSheetId="1" hidden="1">'App Bud for Input'!$E$171</definedName>
    <definedName name="QB_ROW_77340" localSheetId="0" hidden="1">'Approved Budget'!$E$171</definedName>
    <definedName name="QB_ROW_77340" localSheetId="5" hidden="1">'For Trustee 061422'!$E$171</definedName>
    <definedName name="QB_ROW_77340" localSheetId="7" hidden="1">'For Trustees 050522'!$E$171</definedName>
    <definedName name="QB_ROW_77340" localSheetId="2" hidden="1">'For Trustees 071222 '!$E$171</definedName>
    <definedName name="QB_ROW_77340" localSheetId="8" hidden="1">'Working Copy 050522'!$E$143</definedName>
    <definedName name="QB_ROW_77340" localSheetId="6" hidden="1">'Working Copy 061422'!$E$171</definedName>
    <definedName name="QB_ROW_77340" localSheetId="3" hidden="1">'Working Copy 071222'!$E$171</definedName>
    <definedName name="QB_ROW_78260" localSheetId="9" hidden="1">'Ad Downloaded 042822'!$G$125</definedName>
    <definedName name="QB_ROW_78260" localSheetId="1" hidden="1">'App Bud for Input'!$G$159</definedName>
    <definedName name="QB_ROW_78260" localSheetId="0" hidden="1">'Approved Budget'!$G$159</definedName>
    <definedName name="QB_ROW_78260" localSheetId="5" hidden="1">'For Trustee 061422'!$G$159</definedName>
    <definedName name="QB_ROW_78260" localSheetId="7" hidden="1">'For Trustees 050522'!$G$159</definedName>
    <definedName name="QB_ROW_78260" localSheetId="2" hidden="1">'For Trustees 071222 '!$G$159</definedName>
    <definedName name="QB_ROW_78260" localSheetId="8" hidden="1">'Working Copy 050522'!$G$131</definedName>
    <definedName name="QB_ROW_78260" localSheetId="6" hidden="1">'Working Copy 061422'!$G$159</definedName>
    <definedName name="QB_ROW_78260" localSheetId="3" hidden="1">'Working Copy 071222'!$G$159</definedName>
    <definedName name="QB_ROW_79260" localSheetId="10" hidden="1">'060421 For Trustees Prior Year '!$F$168</definedName>
    <definedName name="QB_ROW_86260" localSheetId="10" hidden="1">'060421 For Trustees Prior Year '!$F$104</definedName>
    <definedName name="QB_ROW_86260" localSheetId="9" hidden="1">'Ad Downloaded 042822'!$G$85</definedName>
    <definedName name="QB_ROW_86260" localSheetId="1" hidden="1">'App Bud for Input'!$G$104</definedName>
    <definedName name="QB_ROW_86260" localSheetId="0" hidden="1">'Approved Budget'!$G$104</definedName>
    <definedName name="QB_ROW_86260" localSheetId="5" hidden="1">'For Trustee 061422'!$G$104</definedName>
    <definedName name="QB_ROW_86260" localSheetId="7" hidden="1">'For Trustees 050522'!$G$104</definedName>
    <definedName name="QB_ROW_86260" localSheetId="2" hidden="1">'For Trustees 071222 '!$G$104</definedName>
    <definedName name="QB_ROW_86260" localSheetId="8" hidden="1">'Working Copy 050522'!$G$87</definedName>
    <definedName name="QB_ROW_86260" localSheetId="6" hidden="1">'Working Copy 061422'!$G$104</definedName>
    <definedName name="QB_ROW_86260" localSheetId="3" hidden="1">'Working Copy 071222'!$G$104</definedName>
    <definedName name="QB_ROW_86321" localSheetId="10" hidden="1">'060421 For Trustees Prior Year '!$B$38</definedName>
    <definedName name="QB_ROW_86321" localSheetId="9" hidden="1">'Ad Downloaded 042822'!$C$38</definedName>
    <definedName name="QB_ROW_86321" localSheetId="1" hidden="1">'App Bud for Input'!$C$39</definedName>
    <definedName name="QB_ROW_86321" localSheetId="0" hidden="1">'Approved Budget'!$C$39</definedName>
    <definedName name="QB_ROW_86321" localSheetId="5" hidden="1">'For Trustee 061422'!$C$39</definedName>
    <definedName name="QB_ROW_86321" localSheetId="7" hidden="1">'For Trustees 050522'!$C$39</definedName>
    <definedName name="QB_ROW_86321" localSheetId="2" hidden="1">'For Trustees 071222 '!$C$39</definedName>
    <definedName name="QB_ROW_86321" localSheetId="8" hidden="1">'Working Copy 050522'!$C$39</definedName>
    <definedName name="QB_ROW_86321" localSheetId="6" hidden="1">'Working Copy 061422'!$C$39</definedName>
    <definedName name="QB_ROW_86321" localSheetId="3" hidden="1">'Working Copy 071222'!$C$39</definedName>
    <definedName name="QB_ROW_87031" localSheetId="10" hidden="1">'060421 For Trustees Prior Year '!$C$35</definedName>
    <definedName name="QB_ROW_87031" localSheetId="9" hidden="1">'Ad Downloaded 042822'!$D$35</definedName>
    <definedName name="QB_ROW_87031" localSheetId="1" hidden="1">'App Bud for Input'!$D$36</definedName>
    <definedName name="QB_ROW_87031" localSheetId="0" hidden="1">'Approved Budget'!$D$36</definedName>
    <definedName name="QB_ROW_87031" localSheetId="5" hidden="1">'For Trustee 061422'!$D$36</definedName>
    <definedName name="QB_ROW_87031" localSheetId="7" hidden="1">'For Trustees 050522'!$D$36</definedName>
    <definedName name="QB_ROW_87031" localSheetId="2" hidden="1">'For Trustees 071222 '!$D$36</definedName>
    <definedName name="QB_ROW_87031" localSheetId="8" hidden="1">'Working Copy 050522'!$D$36</definedName>
    <definedName name="QB_ROW_87031" localSheetId="6" hidden="1">'Working Copy 061422'!$D$36</definedName>
    <definedName name="QB_ROW_87031" localSheetId="3" hidden="1">'Working Copy 071222'!$D$36</definedName>
    <definedName name="QB_ROW_87260" localSheetId="10" hidden="1">'060421 For Trustees Prior Year '!$F$52</definedName>
    <definedName name="QB_ROW_87260" localSheetId="9" hidden="1">'Ad Downloaded 042822'!$G$52</definedName>
    <definedName name="QB_ROW_87260" localSheetId="1" hidden="1">'App Bud for Input'!$G$55</definedName>
    <definedName name="QB_ROW_87260" localSheetId="0" hidden="1">'Approved Budget'!$G$55</definedName>
    <definedName name="QB_ROW_87260" localSheetId="5" hidden="1">'For Trustee 061422'!$G$55</definedName>
    <definedName name="QB_ROW_87260" localSheetId="7" hidden="1">'For Trustees 050522'!$G$55</definedName>
    <definedName name="QB_ROW_87260" localSheetId="2" hidden="1">'For Trustees 071222 '!$G$55</definedName>
    <definedName name="QB_ROW_87260" localSheetId="8" hidden="1">'Working Copy 050522'!$G$53</definedName>
    <definedName name="QB_ROW_87260" localSheetId="6" hidden="1">'Working Copy 061422'!$G$55</definedName>
    <definedName name="QB_ROW_87260" localSheetId="3" hidden="1">'Working Copy 071222'!$G$55</definedName>
    <definedName name="QB_ROW_87331" localSheetId="10" hidden="1">'060421 For Trustees Prior Year '!$C$37</definedName>
    <definedName name="QB_ROW_87331" localSheetId="9" hidden="1">'Ad Downloaded 042822'!$D$37</definedName>
    <definedName name="QB_ROW_87331" localSheetId="1" hidden="1">'App Bud for Input'!$D$38</definedName>
    <definedName name="QB_ROW_87331" localSheetId="0" hidden="1">'Approved Budget'!$D$38</definedName>
    <definedName name="QB_ROW_87331" localSheetId="5" hidden="1">'For Trustee 061422'!$D$38</definedName>
    <definedName name="QB_ROW_87331" localSheetId="7" hidden="1">'For Trustees 050522'!$D$38</definedName>
    <definedName name="QB_ROW_87331" localSheetId="2" hidden="1">'For Trustees 071222 '!$D$38</definedName>
    <definedName name="QB_ROW_87331" localSheetId="8" hidden="1">'Working Copy 050522'!$D$38</definedName>
    <definedName name="QB_ROW_87331" localSheetId="6" hidden="1">'Working Copy 061422'!$D$38</definedName>
    <definedName name="QB_ROW_87331" localSheetId="3" hidden="1">'Working Copy 071222'!$D$38</definedName>
    <definedName name="QB_ROW_88360" localSheetId="10" hidden="1">'060421 For Trustees Prior Year '!$F$140</definedName>
    <definedName name="QB_ROW_88360" localSheetId="9" hidden="1">'Ad Downloaded 042822'!$G$108</definedName>
    <definedName name="QB_ROW_88360" localSheetId="1" hidden="1">'App Bud for Input'!$G$140</definedName>
    <definedName name="QB_ROW_88360" localSheetId="0" hidden="1">'Approved Budget'!$G$140</definedName>
    <definedName name="QB_ROW_88360" localSheetId="5" hidden="1">'For Trustee 061422'!$G$140</definedName>
    <definedName name="QB_ROW_88360" localSheetId="7" hidden="1">'For Trustees 050522'!$G$140</definedName>
    <definedName name="QB_ROW_88360" localSheetId="2" hidden="1">'For Trustees 071222 '!$G$140</definedName>
    <definedName name="QB_ROW_88360" localSheetId="8" hidden="1">'Working Copy 050522'!$G$112</definedName>
    <definedName name="QB_ROW_88360" localSheetId="6" hidden="1">'Working Copy 061422'!$G$140</definedName>
    <definedName name="QB_ROW_88360" localSheetId="3" hidden="1">'Working Copy 071222'!$G$140</definedName>
    <definedName name="QB_ROW_90260" localSheetId="10" hidden="1">'060421 For Trustees Prior Year '!$F$138</definedName>
    <definedName name="QB_ROW_90260" localSheetId="9" hidden="1">'Ad Downloaded 042822'!$G$106</definedName>
    <definedName name="QB_ROW_90260" localSheetId="1" hidden="1">'App Bud for Input'!$G$138</definedName>
    <definedName name="QB_ROW_90260" localSheetId="0" hidden="1">'Approved Budget'!$G$138</definedName>
    <definedName name="QB_ROW_90260" localSheetId="5" hidden="1">'For Trustee 061422'!$G$138</definedName>
    <definedName name="QB_ROW_90260" localSheetId="7" hidden="1">'For Trustees 050522'!$G$138</definedName>
    <definedName name="QB_ROW_90260" localSheetId="2" hidden="1">'For Trustees 071222 '!$G$138</definedName>
    <definedName name="QB_ROW_90260" localSheetId="8" hidden="1">'Working Copy 050522'!$G$110</definedName>
    <definedName name="QB_ROW_90260" localSheetId="6" hidden="1">'Working Copy 061422'!$G$138</definedName>
    <definedName name="QB_ROW_90260" localSheetId="3" hidden="1">'Working Copy 071222'!$G$138</definedName>
    <definedName name="QB_ROW_93250" localSheetId="10" hidden="1">'060421 For Trustees Prior Year '!$E$154</definedName>
    <definedName name="QB_ROW_93250" localSheetId="9" hidden="1">'Ad Downloaded 042822'!$F$121</definedName>
    <definedName name="QB_ROW_93250" localSheetId="1" hidden="1">'App Bud for Input'!$F$154</definedName>
    <definedName name="QB_ROW_93250" localSheetId="0" hidden="1">'Approved Budget'!$F$154</definedName>
    <definedName name="QB_ROW_93250" localSheetId="5" hidden="1">'For Trustee 061422'!$F$154</definedName>
    <definedName name="QB_ROW_93250" localSheetId="7" hidden="1">'For Trustees 050522'!$F$154</definedName>
    <definedName name="QB_ROW_93250" localSheetId="2" hidden="1">'For Trustees 071222 '!$F$154</definedName>
    <definedName name="QB_ROW_93250" localSheetId="8" hidden="1">'Working Copy 050522'!$F$126</definedName>
    <definedName name="QB_ROW_93250" localSheetId="6" hidden="1">'Working Copy 061422'!$F$154</definedName>
    <definedName name="QB_ROW_93250" localSheetId="3" hidden="1">'Working Copy 071222'!$F$154</definedName>
    <definedName name="QB_ROW_94260" localSheetId="10" hidden="1">'060421 For Trustees Prior Year '!$F$145</definedName>
    <definedName name="QB_ROW_94260" localSheetId="9" hidden="1">'Ad Downloaded 042822'!$G$112</definedName>
    <definedName name="QB_ROW_94260" localSheetId="1" hidden="1">'App Bud for Input'!$G$145</definedName>
    <definedName name="QB_ROW_94260" localSheetId="0" hidden="1">'Approved Budget'!$G$145</definedName>
    <definedName name="QB_ROW_94260" localSheetId="5" hidden="1">'For Trustee 061422'!$G$145</definedName>
    <definedName name="QB_ROW_94260" localSheetId="7" hidden="1">'For Trustees 050522'!$G$145</definedName>
    <definedName name="QB_ROW_94260" localSheetId="2" hidden="1">'For Trustees 071222 '!$G$145</definedName>
    <definedName name="QB_ROW_94260" localSheetId="8" hidden="1">'Working Copy 050522'!$G$117</definedName>
    <definedName name="QB_ROW_94260" localSheetId="6" hidden="1">'Working Copy 061422'!$G$145</definedName>
    <definedName name="QB_ROW_94260" localSheetId="3" hidden="1">'Working Copy 071222'!$G$145</definedName>
    <definedName name="QB_ROW_95260" localSheetId="10" hidden="1">'060421 For Trustees Prior Year '!$F$96</definedName>
    <definedName name="QB_ROW_95260" localSheetId="9" hidden="1">'Ad Downloaded 042822'!$G$77</definedName>
    <definedName name="QB_ROW_95260" localSheetId="1" hidden="1">'App Bud for Input'!$G$96</definedName>
    <definedName name="QB_ROW_95260" localSheetId="0" hidden="1">'Approved Budget'!$G$96</definedName>
    <definedName name="QB_ROW_95260" localSheetId="5" hidden="1">'For Trustee 061422'!$G$96</definedName>
    <definedName name="QB_ROW_95260" localSheetId="7" hidden="1">'For Trustees 050522'!$G$96</definedName>
    <definedName name="QB_ROW_95260" localSheetId="2" hidden="1">'For Trustees 071222 '!$G$96</definedName>
    <definedName name="QB_ROW_95260" localSheetId="8" hidden="1">'Working Copy 050522'!$G$79</definedName>
    <definedName name="QB_ROW_95260" localSheetId="6" hidden="1">'Working Copy 061422'!$G$96</definedName>
    <definedName name="QB_ROW_95260" localSheetId="3" hidden="1">'Working Copy 071222'!$G$96</definedName>
    <definedName name="QB_ROW_96260" localSheetId="10" hidden="1">'060421 For Trustees Prior Year '!$F$101</definedName>
    <definedName name="QB_ROW_96260" localSheetId="9" hidden="1">'Ad Downloaded 042822'!$G$82</definedName>
    <definedName name="QB_ROW_96260" localSheetId="1" hidden="1">'App Bud for Input'!$G$101</definedName>
    <definedName name="QB_ROW_96260" localSheetId="0" hidden="1">'Approved Budget'!$G$101</definedName>
    <definedName name="QB_ROW_96260" localSheetId="5" hidden="1">'For Trustee 061422'!$G$101</definedName>
    <definedName name="QB_ROW_96260" localSheetId="7" hidden="1">'For Trustees 050522'!$G$101</definedName>
    <definedName name="QB_ROW_96260" localSheetId="2" hidden="1">'For Trustees 071222 '!$G$101</definedName>
    <definedName name="QB_ROW_96260" localSheetId="8" hidden="1">'Working Copy 050522'!$G$84</definedName>
    <definedName name="QB_ROW_96260" localSheetId="6" hidden="1">'Working Copy 061422'!$G$101</definedName>
    <definedName name="QB_ROW_96260" localSheetId="3" hidden="1">'Working Copy 071222'!$G$101</definedName>
    <definedName name="QB_ROW_97260" localSheetId="10" hidden="1">'060421 For Trustees Prior Year '!$F$103</definedName>
    <definedName name="QB_ROW_97260" localSheetId="9" hidden="1">'Ad Downloaded 042822'!$G$84</definedName>
    <definedName name="QB_ROW_97260" localSheetId="1" hidden="1">'App Bud for Input'!$G$103</definedName>
    <definedName name="QB_ROW_97260" localSheetId="0" hidden="1">'Approved Budget'!$G$103</definedName>
    <definedName name="QB_ROW_97260" localSheetId="5" hidden="1">'For Trustee 061422'!$G$103</definedName>
    <definedName name="QB_ROW_97260" localSheetId="7" hidden="1">'For Trustees 050522'!$G$103</definedName>
    <definedName name="QB_ROW_97260" localSheetId="2" hidden="1">'For Trustees 071222 '!$G$103</definedName>
    <definedName name="QB_ROW_97260" localSheetId="8" hidden="1">'Working Copy 050522'!$G$86</definedName>
    <definedName name="QB_ROW_97260" localSheetId="6" hidden="1">'Working Copy 061422'!$G$103</definedName>
    <definedName name="QB_ROW_97260" localSheetId="3" hidden="1">'Working Copy 071222'!$G$103</definedName>
    <definedName name="QB_ROW_99260" localSheetId="10" hidden="1">'060421 For Trustees Prior Year '!$F$105</definedName>
    <definedName name="QB_ROW_99260" localSheetId="9" hidden="1">'Ad Downloaded 042822'!$G$86</definedName>
    <definedName name="QB_ROW_99260" localSheetId="1" hidden="1">'App Bud for Input'!$G$105</definedName>
    <definedName name="QB_ROW_99260" localSheetId="0" hidden="1">'Approved Budget'!$G$105</definedName>
    <definedName name="QB_ROW_99260" localSheetId="5" hidden="1">'For Trustee 061422'!$G$105</definedName>
    <definedName name="QB_ROW_99260" localSheetId="7" hidden="1">'For Trustees 050522'!$G$105</definedName>
    <definedName name="QB_ROW_99260" localSheetId="2" hidden="1">'For Trustees 071222 '!$G$105</definedName>
    <definedName name="QB_ROW_99260" localSheetId="8" hidden="1">'Working Copy 050522'!$G$88</definedName>
    <definedName name="QB_ROW_99260" localSheetId="6" hidden="1">'Working Copy 061422'!$G$105</definedName>
    <definedName name="QB_ROW_99260" localSheetId="3" hidden="1">'Working Copy 071222'!$G$105</definedName>
    <definedName name="QBCANSUPPORTUPDATE" localSheetId="10">TRUE</definedName>
    <definedName name="QBCANSUPPORTUPDATE" localSheetId="9">TRUE</definedName>
    <definedName name="QBCANSUPPORTUPDATE" localSheetId="1">TRUE</definedName>
    <definedName name="QBCANSUPPORTUPDATE" localSheetId="0">TRUE</definedName>
    <definedName name="QBCANSUPPORTUPDATE" localSheetId="5">TRUE</definedName>
    <definedName name="QBCANSUPPORTUPDATE" localSheetId="7">TRUE</definedName>
    <definedName name="QBCANSUPPORTUPDATE" localSheetId="2">TRUE</definedName>
    <definedName name="QBCANSUPPORTUPDATE" localSheetId="8">TRUE</definedName>
    <definedName name="QBCANSUPPORTUPDATE" localSheetId="6">TRUE</definedName>
    <definedName name="QBCANSUPPORTUPDATE" localSheetId="3">TRUE</definedName>
    <definedName name="QBCOMPANYFILENAME" localSheetId="10">"\\SERVPC\QuickBooks\Temecula Public Cemetery District.QBW"</definedName>
    <definedName name="QBCOMPANYFILENAME" localSheetId="9">"\\SERVPC\QuickBooks\Temecula Public Cemetery District.QBW"</definedName>
    <definedName name="QBCOMPANYFILENAME" localSheetId="1">"\\SERVPC\QuickBooks\Temecula Public Cemetery District.QBW"</definedName>
    <definedName name="QBCOMPANYFILENAME" localSheetId="0">"\\SERVPC\QuickBooks\Temecula Public Cemetery District.QBW"</definedName>
    <definedName name="QBCOMPANYFILENAME" localSheetId="5">"\\SERVPC\QuickBooks\Temecula Public Cemetery District.QBW"</definedName>
    <definedName name="QBCOMPANYFILENAME" localSheetId="7">"\\SERVPC\QuickBooks\Temecula Public Cemetery District.QBW"</definedName>
    <definedName name="QBCOMPANYFILENAME" localSheetId="2">"\\SERVPC\QuickBooks\Temecula Public Cemetery District.QBW"</definedName>
    <definedName name="QBCOMPANYFILENAME" localSheetId="8">"\\SERVPC\QuickBooks\Temecula Public Cemetery District.QBW"</definedName>
    <definedName name="QBCOMPANYFILENAME" localSheetId="6">"\\SERVPC\QuickBooks\Temecula Public Cemetery District.QBW"</definedName>
    <definedName name="QBCOMPANYFILENAME" localSheetId="3">"\\SERVPC\QuickBooks\Temecula Public Cemetery District.QBW"</definedName>
    <definedName name="QBENDDATE" localSheetId="10">20210331</definedName>
    <definedName name="QBENDDATE" localSheetId="9">20220331</definedName>
    <definedName name="QBENDDATE" localSheetId="1">20220331</definedName>
    <definedName name="QBENDDATE" localSheetId="0">20220331</definedName>
    <definedName name="QBENDDATE" localSheetId="5">20220331</definedName>
    <definedName name="QBENDDATE" localSheetId="7">20220331</definedName>
    <definedName name="QBENDDATE" localSheetId="2">20220331</definedName>
    <definedName name="QBENDDATE" localSheetId="8">20220331</definedName>
    <definedName name="QBENDDATE" localSheetId="6">20220331</definedName>
    <definedName name="QBENDDATE" localSheetId="3">20220331</definedName>
    <definedName name="QBHEADERSONSCREEN" localSheetId="10">FALSE</definedName>
    <definedName name="QBHEADERSONSCREEN" localSheetId="9">FALSE</definedName>
    <definedName name="QBHEADERSONSCREEN" localSheetId="1">FALSE</definedName>
    <definedName name="QBHEADERSONSCREEN" localSheetId="0">FALSE</definedName>
    <definedName name="QBHEADERSONSCREEN" localSheetId="5">FALSE</definedName>
    <definedName name="QBHEADERSONSCREEN" localSheetId="7">FALSE</definedName>
    <definedName name="QBHEADERSONSCREEN" localSheetId="2">FALSE</definedName>
    <definedName name="QBHEADERSONSCREEN" localSheetId="8">FALSE</definedName>
    <definedName name="QBHEADERSONSCREEN" localSheetId="6">FALSE</definedName>
    <definedName name="QBHEADERSONSCREEN" localSheetId="3">FALSE</definedName>
    <definedName name="QBMETADATASIZE" localSheetId="10">5924</definedName>
    <definedName name="QBMETADATASIZE" localSheetId="9">5924</definedName>
    <definedName name="QBMETADATASIZE" localSheetId="1">5924</definedName>
    <definedName name="QBMETADATASIZE" localSheetId="0">5924</definedName>
    <definedName name="QBMETADATASIZE" localSheetId="5">5924</definedName>
    <definedName name="QBMETADATASIZE" localSheetId="7">5924</definedName>
    <definedName name="QBMETADATASIZE" localSheetId="2">5924</definedName>
    <definedName name="QBMETADATASIZE" localSheetId="8">5924</definedName>
    <definedName name="QBMETADATASIZE" localSheetId="6">5924</definedName>
    <definedName name="QBMETADATASIZE" localSheetId="3">5924</definedName>
    <definedName name="QBPRESERVECOLOR" localSheetId="10">TRUE</definedName>
    <definedName name="QBPRESERVECOLOR" localSheetId="9">TRUE</definedName>
    <definedName name="QBPRESERVECOLOR" localSheetId="1">TRUE</definedName>
    <definedName name="QBPRESERVECOLOR" localSheetId="0">TRUE</definedName>
    <definedName name="QBPRESERVECOLOR" localSheetId="5">TRUE</definedName>
    <definedName name="QBPRESERVECOLOR" localSheetId="7">TRUE</definedName>
    <definedName name="QBPRESERVECOLOR" localSheetId="2">TRUE</definedName>
    <definedName name="QBPRESERVECOLOR" localSheetId="8">TRUE</definedName>
    <definedName name="QBPRESERVECOLOR" localSheetId="6">TRUE</definedName>
    <definedName name="QBPRESERVECOLOR" localSheetId="3">TRUE</definedName>
    <definedName name="QBPRESERVEFONT" localSheetId="10">TRUE</definedName>
    <definedName name="QBPRESERVEFONT" localSheetId="9">TRUE</definedName>
    <definedName name="QBPRESERVEFONT" localSheetId="1">TRUE</definedName>
    <definedName name="QBPRESERVEFONT" localSheetId="0">TRUE</definedName>
    <definedName name="QBPRESERVEFONT" localSheetId="5">TRUE</definedName>
    <definedName name="QBPRESERVEFONT" localSheetId="7">TRUE</definedName>
    <definedName name="QBPRESERVEFONT" localSheetId="2">TRUE</definedName>
    <definedName name="QBPRESERVEFONT" localSheetId="8">TRUE</definedName>
    <definedName name="QBPRESERVEFONT" localSheetId="6">TRUE</definedName>
    <definedName name="QBPRESERVEFONT" localSheetId="3">TRUE</definedName>
    <definedName name="QBPRESERVEROWHEIGHT" localSheetId="10">TRUE</definedName>
    <definedName name="QBPRESERVEROWHEIGHT" localSheetId="9">TRUE</definedName>
    <definedName name="QBPRESERVEROWHEIGHT" localSheetId="1">TRUE</definedName>
    <definedName name="QBPRESERVEROWHEIGHT" localSheetId="0">TRUE</definedName>
    <definedName name="QBPRESERVEROWHEIGHT" localSheetId="5">TRUE</definedName>
    <definedName name="QBPRESERVEROWHEIGHT" localSheetId="7">TRUE</definedName>
    <definedName name="QBPRESERVEROWHEIGHT" localSheetId="2">TRUE</definedName>
    <definedName name="QBPRESERVEROWHEIGHT" localSheetId="8">TRUE</definedName>
    <definedName name="QBPRESERVEROWHEIGHT" localSheetId="6">TRUE</definedName>
    <definedName name="QBPRESERVEROWHEIGHT" localSheetId="3">TRUE</definedName>
    <definedName name="QBPRESERVESPACE" localSheetId="10">FALSE</definedName>
    <definedName name="QBPRESERVESPACE" localSheetId="9">FALSE</definedName>
    <definedName name="QBPRESERVESPACE" localSheetId="1">FALSE</definedName>
    <definedName name="QBPRESERVESPACE" localSheetId="0">FALSE</definedName>
    <definedName name="QBPRESERVESPACE" localSheetId="5">FALSE</definedName>
    <definedName name="QBPRESERVESPACE" localSheetId="7">FALSE</definedName>
    <definedName name="QBPRESERVESPACE" localSheetId="2">FALSE</definedName>
    <definedName name="QBPRESERVESPACE" localSheetId="8">FALSE</definedName>
    <definedName name="QBPRESERVESPACE" localSheetId="6">FALSE</definedName>
    <definedName name="QBPRESERVESPACE" localSheetId="3">FALSE</definedName>
    <definedName name="QBREPORTCOLAXIS" localSheetId="10">6</definedName>
    <definedName name="QBREPORTCOLAXIS" localSheetId="9">6</definedName>
    <definedName name="QBREPORTCOLAXIS" localSheetId="1">6</definedName>
    <definedName name="QBREPORTCOLAXIS" localSheetId="0">6</definedName>
    <definedName name="QBREPORTCOLAXIS" localSheetId="5">6</definedName>
    <definedName name="QBREPORTCOLAXIS" localSheetId="7">6</definedName>
    <definedName name="QBREPORTCOLAXIS" localSheetId="2">6</definedName>
    <definedName name="QBREPORTCOLAXIS" localSheetId="8">6</definedName>
    <definedName name="QBREPORTCOLAXIS" localSheetId="6">6</definedName>
    <definedName name="QBREPORTCOLAXIS" localSheetId="3">6</definedName>
    <definedName name="QBREPORTCOMPANYID" localSheetId="10">"e574eaf3e4fc4f668cef600eb292fe1a"</definedName>
    <definedName name="QBREPORTCOMPANYID" localSheetId="9">"e574eaf3e4fc4f668cef600eb292fe1a"</definedName>
    <definedName name="QBREPORTCOMPANYID" localSheetId="1">"e574eaf3e4fc4f668cef600eb292fe1a"</definedName>
    <definedName name="QBREPORTCOMPANYID" localSheetId="0">"e574eaf3e4fc4f668cef600eb292fe1a"</definedName>
    <definedName name="QBREPORTCOMPANYID" localSheetId="5">"e574eaf3e4fc4f668cef600eb292fe1a"</definedName>
    <definedName name="QBREPORTCOMPANYID" localSheetId="7">"e574eaf3e4fc4f668cef600eb292fe1a"</definedName>
    <definedName name="QBREPORTCOMPANYID" localSheetId="2">"e574eaf3e4fc4f668cef600eb292fe1a"</definedName>
    <definedName name="QBREPORTCOMPANYID" localSheetId="8">"e574eaf3e4fc4f668cef600eb292fe1a"</definedName>
    <definedName name="QBREPORTCOMPANYID" localSheetId="6">"e574eaf3e4fc4f668cef600eb292fe1a"</definedName>
    <definedName name="QBREPORTCOMPANYID" localSheetId="3">"e574eaf3e4fc4f668cef600eb292fe1a"</definedName>
    <definedName name="QBREPORTCOMPARECOL_ANNUALBUDGET" localSheetId="10">FALSE</definedName>
    <definedName name="QBREPORTCOMPARECOL_ANNUALBUDGET" localSheetId="9">FALSE</definedName>
    <definedName name="QBREPORTCOMPARECOL_ANNUALBUDGET" localSheetId="1">FALSE</definedName>
    <definedName name="QBREPORTCOMPARECOL_ANNUALBUDGET" localSheetId="0">FALSE</definedName>
    <definedName name="QBREPORTCOMPARECOL_ANNUALBUDGET" localSheetId="5">FALSE</definedName>
    <definedName name="QBREPORTCOMPARECOL_ANNUALBUDGET" localSheetId="7">FALSE</definedName>
    <definedName name="QBREPORTCOMPARECOL_ANNUALBUDGET" localSheetId="2">FALSE</definedName>
    <definedName name="QBREPORTCOMPARECOL_ANNUALBUDGET" localSheetId="8">FALSE</definedName>
    <definedName name="QBREPORTCOMPARECOL_ANNUALBUDGET" localSheetId="6">FALSE</definedName>
    <definedName name="QBREPORTCOMPARECOL_ANNUALBUDGET" localSheetId="3">FALSE</definedName>
    <definedName name="QBREPORTCOMPARECOL_AVGCOGS" localSheetId="10">FALSE</definedName>
    <definedName name="QBREPORTCOMPARECOL_AVGCOGS" localSheetId="9">FALSE</definedName>
    <definedName name="QBREPORTCOMPARECOL_AVGCOGS" localSheetId="1">FALSE</definedName>
    <definedName name="QBREPORTCOMPARECOL_AVGCOGS" localSheetId="0">FALSE</definedName>
    <definedName name="QBREPORTCOMPARECOL_AVGCOGS" localSheetId="5">FALSE</definedName>
    <definedName name="QBREPORTCOMPARECOL_AVGCOGS" localSheetId="7">FALSE</definedName>
    <definedName name="QBREPORTCOMPARECOL_AVGCOGS" localSheetId="2">FALSE</definedName>
    <definedName name="QBREPORTCOMPARECOL_AVGCOGS" localSheetId="8">FALSE</definedName>
    <definedName name="QBREPORTCOMPARECOL_AVGCOGS" localSheetId="6">FALSE</definedName>
    <definedName name="QBREPORTCOMPARECOL_AVGCOGS" localSheetId="3">FALSE</definedName>
    <definedName name="QBREPORTCOMPARECOL_AVGPRICE" localSheetId="10">FALSE</definedName>
    <definedName name="QBREPORTCOMPARECOL_AVGPRICE" localSheetId="9">FALSE</definedName>
    <definedName name="QBREPORTCOMPARECOL_AVGPRICE" localSheetId="1">FALSE</definedName>
    <definedName name="QBREPORTCOMPARECOL_AVGPRICE" localSheetId="0">FALSE</definedName>
    <definedName name="QBREPORTCOMPARECOL_AVGPRICE" localSheetId="5">FALSE</definedName>
    <definedName name="QBREPORTCOMPARECOL_AVGPRICE" localSheetId="7">FALSE</definedName>
    <definedName name="QBREPORTCOMPARECOL_AVGPRICE" localSheetId="2">FALSE</definedName>
    <definedName name="QBREPORTCOMPARECOL_AVGPRICE" localSheetId="8">FALSE</definedName>
    <definedName name="QBREPORTCOMPARECOL_AVGPRICE" localSheetId="6">FALSE</definedName>
    <definedName name="QBREPORTCOMPARECOL_AVGPRICE" localSheetId="3">FALSE</definedName>
    <definedName name="QBREPORTCOMPARECOL_BUDDIFF" localSheetId="10">FALSE</definedName>
    <definedName name="QBREPORTCOMPARECOL_BUDDIFF" localSheetId="9">FALSE</definedName>
    <definedName name="QBREPORTCOMPARECOL_BUDDIFF" localSheetId="1">FALSE</definedName>
    <definedName name="QBREPORTCOMPARECOL_BUDDIFF" localSheetId="0">FALSE</definedName>
    <definedName name="QBREPORTCOMPARECOL_BUDDIFF" localSheetId="5">FALSE</definedName>
    <definedName name="QBREPORTCOMPARECOL_BUDDIFF" localSheetId="7">FALSE</definedName>
    <definedName name="QBREPORTCOMPARECOL_BUDDIFF" localSheetId="2">FALSE</definedName>
    <definedName name="QBREPORTCOMPARECOL_BUDDIFF" localSheetId="8">FALSE</definedName>
    <definedName name="QBREPORTCOMPARECOL_BUDDIFF" localSheetId="6">FALSE</definedName>
    <definedName name="QBREPORTCOMPARECOL_BUDDIFF" localSheetId="3">FALSE</definedName>
    <definedName name="QBREPORTCOMPARECOL_BUDGET" localSheetId="10">FALSE</definedName>
    <definedName name="QBREPORTCOMPARECOL_BUDGET" localSheetId="9">FALSE</definedName>
    <definedName name="QBREPORTCOMPARECOL_BUDGET" localSheetId="1">FALSE</definedName>
    <definedName name="QBREPORTCOMPARECOL_BUDGET" localSheetId="0">FALSE</definedName>
    <definedName name="QBREPORTCOMPARECOL_BUDGET" localSheetId="5">FALSE</definedName>
    <definedName name="QBREPORTCOMPARECOL_BUDGET" localSheetId="7">FALSE</definedName>
    <definedName name="QBREPORTCOMPARECOL_BUDGET" localSheetId="2">FALSE</definedName>
    <definedName name="QBREPORTCOMPARECOL_BUDGET" localSheetId="8">FALSE</definedName>
    <definedName name="QBREPORTCOMPARECOL_BUDGET" localSheetId="6">FALSE</definedName>
    <definedName name="QBREPORTCOMPARECOL_BUDGET" localSheetId="3">FALSE</definedName>
    <definedName name="QBREPORTCOMPARECOL_BUDPCT" localSheetId="10">FALSE</definedName>
    <definedName name="QBREPORTCOMPARECOL_BUDPCT" localSheetId="9">FALSE</definedName>
    <definedName name="QBREPORTCOMPARECOL_BUDPCT" localSheetId="1">FALSE</definedName>
    <definedName name="QBREPORTCOMPARECOL_BUDPCT" localSheetId="0">FALSE</definedName>
    <definedName name="QBREPORTCOMPARECOL_BUDPCT" localSheetId="5">FALSE</definedName>
    <definedName name="QBREPORTCOMPARECOL_BUDPCT" localSheetId="7">FALSE</definedName>
    <definedName name="QBREPORTCOMPARECOL_BUDPCT" localSheetId="2">FALSE</definedName>
    <definedName name="QBREPORTCOMPARECOL_BUDPCT" localSheetId="8">FALSE</definedName>
    <definedName name="QBREPORTCOMPARECOL_BUDPCT" localSheetId="6">FALSE</definedName>
    <definedName name="QBREPORTCOMPARECOL_BUDPCT" localSheetId="3">FALSE</definedName>
    <definedName name="QBREPORTCOMPARECOL_COGS" localSheetId="10">FALSE</definedName>
    <definedName name="QBREPORTCOMPARECOL_COGS" localSheetId="9">FALSE</definedName>
    <definedName name="QBREPORTCOMPARECOL_COGS" localSheetId="1">FALSE</definedName>
    <definedName name="QBREPORTCOMPARECOL_COGS" localSheetId="0">FALSE</definedName>
    <definedName name="QBREPORTCOMPARECOL_COGS" localSheetId="5">FALSE</definedName>
    <definedName name="QBREPORTCOMPARECOL_COGS" localSheetId="7">FALSE</definedName>
    <definedName name="QBREPORTCOMPARECOL_COGS" localSheetId="2">FALSE</definedName>
    <definedName name="QBREPORTCOMPARECOL_COGS" localSheetId="8">FALSE</definedName>
    <definedName name="QBREPORTCOMPARECOL_COGS" localSheetId="6">FALSE</definedName>
    <definedName name="QBREPORTCOMPARECOL_COGS" localSheetId="3">FALSE</definedName>
    <definedName name="QBREPORTCOMPARECOL_EXCLUDEAMOUNT" localSheetId="10">FALSE</definedName>
    <definedName name="QBREPORTCOMPARECOL_EXCLUDEAMOUNT" localSheetId="9">FALSE</definedName>
    <definedName name="QBREPORTCOMPARECOL_EXCLUDEAMOUNT" localSheetId="1">FALSE</definedName>
    <definedName name="QBREPORTCOMPARECOL_EXCLUDEAMOUNT" localSheetId="0">FALSE</definedName>
    <definedName name="QBREPORTCOMPARECOL_EXCLUDEAMOUNT" localSheetId="5">FALSE</definedName>
    <definedName name="QBREPORTCOMPARECOL_EXCLUDEAMOUNT" localSheetId="7">FALSE</definedName>
    <definedName name="QBREPORTCOMPARECOL_EXCLUDEAMOUNT" localSheetId="2">FALSE</definedName>
    <definedName name="QBREPORTCOMPARECOL_EXCLUDEAMOUNT" localSheetId="8">FALSE</definedName>
    <definedName name="QBREPORTCOMPARECOL_EXCLUDEAMOUNT" localSheetId="6">FALSE</definedName>
    <definedName name="QBREPORTCOMPARECOL_EXCLUDEAMOUNT" localSheetId="3">FALSE</definedName>
    <definedName name="QBREPORTCOMPARECOL_EXCLUDECURPERIOD" localSheetId="10">FALSE</definedName>
    <definedName name="QBREPORTCOMPARECOL_EXCLUDECURPERIOD" localSheetId="9">FALSE</definedName>
    <definedName name="QBREPORTCOMPARECOL_EXCLUDECURPERIOD" localSheetId="1">FALSE</definedName>
    <definedName name="QBREPORTCOMPARECOL_EXCLUDECURPERIOD" localSheetId="0">FALSE</definedName>
    <definedName name="QBREPORTCOMPARECOL_EXCLUDECURPERIOD" localSheetId="5">FALSE</definedName>
    <definedName name="QBREPORTCOMPARECOL_EXCLUDECURPERIOD" localSheetId="7">FALSE</definedName>
    <definedName name="QBREPORTCOMPARECOL_EXCLUDECURPERIOD" localSheetId="2">FALSE</definedName>
    <definedName name="QBREPORTCOMPARECOL_EXCLUDECURPERIOD" localSheetId="8">FALSE</definedName>
    <definedName name="QBREPORTCOMPARECOL_EXCLUDECURPERIOD" localSheetId="6">FALSE</definedName>
    <definedName name="QBREPORTCOMPARECOL_EXCLUDECURPERIOD" localSheetId="3">FALSE</definedName>
    <definedName name="QBREPORTCOMPARECOL_FORECAST" localSheetId="10">FALSE</definedName>
    <definedName name="QBREPORTCOMPARECOL_FORECAST" localSheetId="9">FALSE</definedName>
    <definedName name="QBREPORTCOMPARECOL_FORECAST" localSheetId="1">FALSE</definedName>
    <definedName name="QBREPORTCOMPARECOL_FORECAST" localSheetId="0">FALSE</definedName>
    <definedName name="QBREPORTCOMPARECOL_FORECAST" localSheetId="5">FALSE</definedName>
    <definedName name="QBREPORTCOMPARECOL_FORECAST" localSheetId="7">FALSE</definedName>
    <definedName name="QBREPORTCOMPARECOL_FORECAST" localSheetId="2">FALSE</definedName>
    <definedName name="QBREPORTCOMPARECOL_FORECAST" localSheetId="8">FALSE</definedName>
    <definedName name="QBREPORTCOMPARECOL_FORECAST" localSheetId="6">FALSE</definedName>
    <definedName name="QBREPORTCOMPARECOL_FORECAST" localSheetId="3">FALSE</definedName>
    <definedName name="QBREPORTCOMPARECOL_GROSSMARGIN" localSheetId="10">FALSE</definedName>
    <definedName name="QBREPORTCOMPARECOL_GROSSMARGIN" localSheetId="9">FALSE</definedName>
    <definedName name="QBREPORTCOMPARECOL_GROSSMARGIN" localSheetId="1">FALSE</definedName>
    <definedName name="QBREPORTCOMPARECOL_GROSSMARGIN" localSheetId="0">FALSE</definedName>
    <definedName name="QBREPORTCOMPARECOL_GROSSMARGIN" localSheetId="5">FALSE</definedName>
    <definedName name="QBREPORTCOMPARECOL_GROSSMARGIN" localSheetId="7">FALSE</definedName>
    <definedName name="QBREPORTCOMPARECOL_GROSSMARGIN" localSheetId="2">FALSE</definedName>
    <definedName name="QBREPORTCOMPARECOL_GROSSMARGIN" localSheetId="8">FALSE</definedName>
    <definedName name="QBREPORTCOMPARECOL_GROSSMARGIN" localSheetId="6">FALSE</definedName>
    <definedName name="QBREPORTCOMPARECOL_GROSSMARGIN" localSheetId="3">FALSE</definedName>
    <definedName name="QBREPORTCOMPARECOL_GROSSMARGINPCT" localSheetId="10">FALSE</definedName>
    <definedName name="QBREPORTCOMPARECOL_GROSSMARGINPCT" localSheetId="9">FALSE</definedName>
    <definedName name="QBREPORTCOMPARECOL_GROSSMARGINPCT" localSheetId="1">FALSE</definedName>
    <definedName name="QBREPORTCOMPARECOL_GROSSMARGINPCT" localSheetId="0">FALSE</definedName>
    <definedName name="QBREPORTCOMPARECOL_GROSSMARGINPCT" localSheetId="5">FALSE</definedName>
    <definedName name="QBREPORTCOMPARECOL_GROSSMARGINPCT" localSheetId="7">FALSE</definedName>
    <definedName name="QBREPORTCOMPARECOL_GROSSMARGINPCT" localSheetId="2">FALSE</definedName>
    <definedName name="QBREPORTCOMPARECOL_GROSSMARGINPCT" localSheetId="8">FALSE</definedName>
    <definedName name="QBREPORTCOMPARECOL_GROSSMARGINPCT" localSheetId="6">FALSE</definedName>
    <definedName name="QBREPORTCOMPARECOL_GROSSMARGINPCT" localSheetId="3">FALSE</definedName>
    <definedName name="QBREPORTCOMPARECOL_HOURS" localSheetId="10">FALSE</definedName>
    <definedName name="QBREPORTCOMPARECOL_HOURS" localSheetId="9">FALSE</definedName>
    <definedName name="QBREPORTCOMPARECOL_HOURS" localSheetId="1">FALSE</definedName>
    <definedName name="QBREPORTCOMPARECOL_HOURS" localSheetId="0">FALSE</definedName>
    <definedName name="QBREPORTCOMPARECOL_HOURS" localSheetId="5">FALSE</definedName>
    <definedName name="QBREPORTCOMPARECOL_HOURS" localSheetId="7">FALSE</definedName>
    <definedName name="QBREPORTCOMPARECOL_HOURS" localSheetId="2">FALSE</definedName>
    <definedName name="QBREPORTCOMPARECOL_HOURS" localSheetId="8">FALSE</definedName>
    <definedName name="QBREPORTCOMPARECOL_HOURS" localSheetId="6">FALSE</definedName>
    <definedName name="QBREPORTCOMPARECOL_HOURS" localSheetId="3">FALSE</definedName>
    <definedName name="QBREPORTCOMPARECOL_PCTCOL" localSheetId="10">FALSE</definedName>
    <definedName name="QBREPORTCOMPARECOL_PCTCOL" localSheetId="9">FALSE</definedName>
    <definedName name="QBREPORTCOMPARECOL_PCTCOL" localSheetId="1">FALSE</definedName>
    <definedName name="QBREPORTCOMPARECOL_PCTCOL" localSheetId="0">FALSE</definedName>
    <definedName name="QBREPORTCOMPARECOL_PCTCOL" localSheetId="5">FALSE</definedName>
    <definedName name="QBREPORTCOMPARECOL_PCTCOL" localSheetId="7">FALSE</definedName>
    <definedName name="QBREPORTCOMPARECOL_PCTCOL" localSheetId="2">FALSE</definedName>
    <definedName name="QBREPORTCOMPARECOL_PCTCOL" localSheetId="8">FALSE</definedName>
    <definedName name="QBREPORTCOMPARECOL_PCTCOL" localSheetId="6">FALSE</definedName>
    <definedName name="QBREPORTCOMPARECOL_PCTCOL" localSheetId="3">FALSE</definedName>
    <definedName name="QBREPORTCOMPARECOL_PCTEXPENSE" localSheetId="10">FALSE</definedName>
    <definedName name="QBREPORTCOMPARECOL_PCTEXPENSE" localSheetId="9">FALSE</definedName>
    <definedName name="QBREPORTCOMPARECOL_PCTEXPENSE" localSheetId="1">FALSE</definedName>
    <definedName name="QBREPORTCOMPARECOL_PCTEXPENSE" localSheetId="0">FALSE</definedName>
    <definedName name="QBREPORTCOMPARECOL_PCTEXPENSE" localSheetId="5">FALSE</definedName>
    <definedName name="QBREPORTCOMPARECOL_PCTEXPENSE" localSheetId="7">FALSE</definedName>
    <definedName name="QBREPORTCOMPARECOL_PCTEXPENSE" localSheetId="2">FALSE</definedName>
    <definedName name="QBREPORTCOMPARECOL_PCTEXPENSE" localSheetId="8">FALSE</definedName>
    <definedName name="QBREPORTCOMPARECOL_PCTEXPENSE" localSheetId="6">FALSE</definedName>
    <definedName name="QBREPORTCOMPARECOL_PCTEXPENSE" localSheetId="3">FALSE</definedName>
    <definedName name="QBREPORTCOMPARECOL_PCTINCOME" localSheetId="10">FALSE</definedName>
    <definedName name="QBREPORTCOMPARECOL_PCTINCOME" localSheetId="9">FALSE</definedName>
    <definedName name="QBREPORTCOMPARECOL_PCTINCOME" localSheetId="1">FALSE</definedName>
    <definedName name="QBREPORTCOMPARECOL_PCTINCOME" localSheetId="0">FALSE</definedName>
    <definedName name="QBREPORTCOMPARECOL_PCTINCOME" localSheetId="5">FALSE</definedName>
    <definedName name="QBREPORTCOMPARECOL_PCTINCOME" localSheetId="7">FALSE</definedName>
    <definedName name="QBREPORTCOMPARECOL_PCTINCOME" localSheetId="2">FALSE</definedName>
    <definedName name="QBREPORTCOMPARECOL_PCTINCOME" localSheetId="8">FALSE</definedName>
    <definedName name="QBREPORTCOMPARECOL_PCTINCOME" localSheetId="6">FALSE</definedName>
    <definedName name="QBREPORTCOMPARECOL_PCTINCOME" localSheetId="3">FALSE</definedName>
    <definedName name="QBREPORTCOMPARECOL_PCTOFSALES" localSheetId="10">FALSE</definedName>
    <definedName name="QBREPORTCOMPARECOL_PCTOFSALES" localSheetId="9">FALSE</definedName>
    <definedName name="QBREPORTCOMPARECOL_PCTOFSALES" localSheetId="1">FALSE</definedName>
    <definedName name="QBREPORTCOMPARECOL_PCTOFSALES" localSheetId="0">FALSE</definedName>
    <definedName name="QBREPORTCOMPARECOL_PCTOFSALES" localSheetId="5">FALSE</definedName>
    <definedName name="QBREPORTCOMPARECOL_PCTOFSALES" localSheetId="7">FALSE</definedName>
    <definedName name="QBREPORTCOMPARECOL_PCTOFSALES" localSheetId="2">FALSE</definedName>
    <definedName name="QBREPORTCOMPARECOL_PCTOFSALES" localSheetId="8">FALSE</definedName>
    <definedName name="QBREPORTCOMPARECOL_PCTOFSALES" localSheetId="6">FALSE</definedName>
    <definedName name="QBREPORTCOMPARECOL_PCTOFSALES" localSheetId="3">FALSE</definedName>
    <definedName name="QBREPORTCOMPARECOL_PCTROW" localSheetId="10">FALSE</definedName>
    <definedName name="QBREPORTCOMPARECOL_PCTROW" localSheetId="9">FALSE</definedName>
    <definedName name="QBREPORTCOMPARECOL_PCTROW" localSheetId="1">FALSE</definedName>
    <definedName name="QBREPORTCOMPARECOL_PCTROW" localSheetId="0">FALSE</definedName>
    <definedName name="QBREPORTCOMPARECOL_PCTROW" localSheetId="5">FALSE</definedName>
    <definedName name="QBREPORTCOMPARECOL_PCTROW" localSheetId="7">FALSE</definedName>
    <definedName name="QBREPORTCOMPARECOL_PCTROW" localSheetId="2">FALSE</definedName>
    <definedName name="QBREPORTCOMPARECOL_PCTROW" localSheetId="8">FALSE</definedName>
    <definedName name="QBREPORTCOMPARECOL_PCTROW" localSheetId="6">FALSE</definedName>
    <definedName name="QBREPORTCOMPARECOL_PCTROW" localSheetId="3">FALSE</definedName>
    <definedName name="QBREPORTCOMPARECOL_PPDIFF" localSheetId="10">FALSE</definedName>
    <definedName name="QBREPORTCOMPARECOL_PPDIFF" localSheetId="9">FALSE</definedName>
    <definedName name="QBREPORTCOMPARECOL_PPDIFF" localSheetId="1">FALSE</definedName>
    <definedName name="QBREPORTCOMPARECOL_PPDIFF" localSheetId="0">FALSE</definedName>
    <definedName name="QBREPORTCOMPARECOL_PPDIFF" localSheetId="5">FALSE</definedName>
    <definedName name="QBREPORTCOMPARECOL_PPDIFF" localSheetId="7">FALSE</definedName>
    <definedName name="QBREPORTCOMPARECOL_PPDIFF" localSheetId="2">FALSE</definedName>
    <definedName name="QBREPORTCOMPARECOL_PPDIFF" localSheetId="8">FALSE</definedName>
    <definedName name="QBREPORTCOMPARECOL_PPDIFF" localSheetId="6">FALSE</definedName>
    <definedName name="QBREPORTCOMPARECOL_PPDIFF" localSheetId="3">FALSE</definedName>
    <definedName name="QBREPORTCOMPARECOL_PPPCT" localSheetId="10">FALSE</definedName>
    <definedName name="QBREPORTCOMPARECOL_PPPCT" localSheetId="9">FALSE</definedName>
    <definedName name="QBREPORTCOMPARECOL_PPPCT" localSheetId="1">FALSE</definedName>
    <definedName name="QBREPORTCOMPARECOL_PPPCT" localSheetId="0">FALSE</definedName>
    <definedName name="QBREPORTCOMPARECOL_PPPCT" localSheetId="5">FALSE</definedName>
    <definedName name="QBREPORTCOMPARECOL_PPPCT" localSheetId="7">FALSE</definedName>
    <definedName name="QBREPORTCOMPARECOL_PPPCT" localSheetId="2">FALSE</definedName>
    <definedName name="QBREPORTCOMPARECOL_PPPCT" localSheetId="8">FALSE</definedName>
    <definedName name="QBREPORTCOMPARECOL_PPPCT" localSheetId="6">FALSE</definedName>
    <definedName name="QBREPORTCOMPARECOL_PPPCT" localSheetId="3">FALSE</definedName>
    <definedName name="QBREPORTCOMPARECOL_PREVPERIOD" localSheetId="10">FALSE</definedName>
    <definedName name="QBREPORTCOMPARECOL_PREVPERIOD" localSheetId="9">FALSE</definedName>
    <definedName name="QBREPORTCOMPARECOL_PREVPERIOD" localSheetId="1">FALSE</definedName>
    <definedName name="QBREPORTCOMPARECOL_PREVPERIOD" localSheetId="0">FALSE</definedName>
    <definedName name="QBREPORTCOMPARECOL_PREVPERIOD" localSheetId="5">FALSE</definedName>
    <definedName name="QBREPORTCOMPARECOL_PREVPERIOD" localSheetId="7">FALSE</definedName>
    <definedName name="QBREPORTCOMPARECOL_PREVPERIOD" localSheetId="2">FALSE</definedName>
    <definedName name="QBREPORTCOMPARECOL_PREVPERIOD" localSheetId="8">FALSE</definedName>
    <definedName name="QBREPORTCOMPARECOL_PREVPERIOD" localSheetId="6">FALSE</definedName>
    <definedName name="QBREPORTCOMPARECOL_PREVPERIOD" localSheetId="3">FALSE</definedName>
    <definedName name="QBREPORTCOMPARECOL_PREVYEAR" localSheetId="10">FALSE</definedName>
    <definedName name="QBREPORTCOMPARECOL_PREVYEAR" localSheetId="9">FALSE</definedName>
    <definedName name="QBREPORTCOMPARECOL_PREVYEAR" localSheetId="1">FALSE</definedName>
    <definedName name="QBREPORTCOMPARECOL_PREVYEAR" localSheetId="0">FALSE</definedName>
    <definedName name="QBREPORTCOMPARECOL_PREVYEAR" localSheetId="5">FALSE</definedName>
    <definedName name="QBREPORTCOMPARECOL_PREVYEAR" localSheetId="7">FALSE</definedName>
    <definedName name="QBREPORTCOMPARECOL_PREVYEAR" localSheetId="2">FALSE</definedName>
    <definedName name="QBREPORTCOMPARECOL_PREVYEAR" localSheetId="8">FALSE</definedName>
    <definedName name="QBREPORTCOMPARECOL_PREVYEAR" localSheetId="6">FALSE</definedName>
    <definedName name="QBREPORTCOMPARECOL_PREVYEAR" localSheetId="3">FALSE</definedName>
    <definedName name="QBREPORTCOMPARECOL_PYDIFF" localSheetId="10">FALSE</definedName>
    <definedName name="QBREPORTCOMPARECOL_PYDIFF" localSheetId="9">FALSE</definedName>
    <definedName name="QBREPORTCOMPARECOL_PYDIFF" localSheetId="1">FALSE</definedName>
    <definedName name="QBREPORTCOMPARECOL_PYDIFF" localSheetId="0">FALSE</definedName>
    <definedName name="QBREPORTCOMPARECOL_PYDIFF" localSheetId="5">FALSE</definedName>
    <definedName name="QBREPORTCOMPARECOL_PYDIFF" localSheetId="7">FALSE</definedName>
    <definedName name="QBREPORTCOMPARECOL_PYDIFF" localSheetId="2">FALSE</definedName>
    <definedName name="QBREPORTCOMPARECOL_PYDIFF" localSheetId="8">FALSE</definedName>
    <definedName name="QBREPORTCOMPARECOL_PYDIFF" localSheetId="6">FALSE</definedName>
    <definedName name="QBREPORTCOMPARECOL_PYDIFF" localSheetId="3">FALSE</definedName>
    <definedName name="QBREPORTCOMPARECOL_PYPCT" localSheetId="10">FALSE</definedName>
    <definedName name="QBREPORTCOMPARECOL_PYPCT" localSheetId="9">FALSE</definedName>
    <definedName name="QBREPORTCOMPARECOL_PYPCT" localSheetId="1">FALSE</definedName>
    <definedName name="QBREPORTCOMPARECOL_PYPCT" localSheetId="0">FALSE</definedName>
    <definedName name="QBREPORTCOMPARECOL_PYPCT" localSheetId="5">FALSE</definedName>
    <definedName name="QBREPORTCOMPARECOL_PYPCT" localSheetId="7">FALSE</definedName>
    <definedName name="QBREPORTCOMPARECOL_PYPCT" localSheetId="2">FALSE</definedName>
    <definedName name="QBREPORTCOMPARECOL_PYPCT" localSheetId="8">FALSE</definedName>
    <definedName name="QBREPORTCOMPARECOL_PYPCT" localSheetId="6">FALSE</definedName>
    <definedName name="QBREPORTCOMPARECOL_PYPCT" localSheetId="3">FALSE</definedName>
    <definedName name="QBREPORTCOMPARECOL_QTY" localSheetId="10">FALSE</definedName>
    <definedName name="QBREPORTCOMPARECOL_QTY" localSheetId="9">FALSE</definedName>
    <definedName name="QBREPORTCOMPARECOL_QTY" localSheetId="1">FALSE</definedName>
    <definedName name="QBREPORTCOMPARECOL_QTY" localSheetId="0">FALSE</definedName>
    <definedName name="QBREPORTCOMPARECOL_QTY" localSheetId="5">FALSE</definedName>
    <definedName name="QBREPORTCOMPARECOL_QTY" localSheetId="7">FALSE</definedName>
    <definedName name="QBREPORTCOMPARECOL_QTY" localSheetId="2">FALSE</definedName>
    <definedName name="QBREPORTCOMPARECOL_QTY" localSheetId="8">FALSE</definedName>
    <definedName name="QBREPORTCOMPARECOL_QTY" localSheetId="6">FALSE</definedName>
    <definedName name="QBREPORTCOMPARECOL_QTY" localSheetId="3">FALSE</definedName>
    <definedName name="QBREPORTCOMPARECOL_RATE" localSheetId="10">FALSE</definedName>
    <definedName name="QBREPORTCOMPARECOL_RATE" localSheetId="9">FALSE</definedName>
    <definedName name="QBREPORTCOMPARECOL_RATE" localSheetId="1">FALSE</definedName>
    <definedName name="QBREPORTCOMPARECOL_RATE" localSheetId="0">FALSE</definedName>
    <definedName name="QBREPORTCOMPARECOL_RATE" localSheetId="5">FALSE</definedName>
    <definedName name="QBREPORTCOMPARECOL_RATE" localSheetId="7">FALSE</definedName>
    <definedName name="QBREPORTCOMPARECOL_RATE" localSheetId="2">FALSE</definedName>
    <definedName name="QBREPORTCOMPARECOL_RATE" localSheetId="8">FALSE</definedName>
    <definedName name="QBREPORTCOMPARECOL_RATE" localSheetId="6">FALSE</definedName>
    <definedName name="QBREPORTCOMPARECOL_RATE" localSheetId="3">FALSE</definedName>
    <definedName name="QBREPORTCOMPARECOL_TRIPBILLEDMILES" localSheetId="10">FALSE</definedName>
    <definedName name="QBREPORTCOMPARECOL_TRIPBILLEDMILES" localSheetId="9">FALSE</definedName>
    <definedName name="QBREPORTCOMPARECOL_TRIPBILLEDMILES" localSheetId="1">FALSE</definedName>
    <definedName name="QBREPORTCOMPARECOL_TRIPBILLEDMILES" localSheetId="0">FALSE</definedName>
    <definedName name="QBREPORTCOMPARECOL_TRIPBILLEDMILES" localSheetId="5">FALSE</definedName>
    <definedName name="QBREPORTCOMPARECOL_TRIPBILLEDMILES" localSheetId="7">FALSE</definedName>
    <definedName name="QBREPORTCOMPARECOL_TRIPBILLEDMILES" localSheetId="2">FALSE</definedName>
    <definedName name="QBREPORTCOMPARECOL_TRIPBILLEDMILES" localSheetId="8">FALSE</definedName>
    <definedName name="QBREPORTCOMPARECOL_TRIPBILLEDMILES" localSheetId="6">FALSE</definedName>
    <definedName name="QBREPORTCOMPARECOL_TRIPBILLEDMILES" localSheetId="3">FALSE</definedName>
    <definedName name="QBREPORTCOMPARECOL_TRIPBILLINGAMOUNT" localSheetId="10">FALSE</definedName>
    <definedName name="QBREPORTCOMPARECOL_TRIPBILLINGAMOUNT" localSheetId="9">FALSE</definedName>
    <definedName name="QBREPORTCOMPARECOL_TRIPBILLINGAMOUNT" localSheetId="1">FALSE</definedName>
    <definedName name="QBREPORTCOMPARECOL_TRIPBILLINGAMOUNT" localSheetId="0">FALSE</definedName>
    <definedName name="QBREPORTCOMPARECOL_TRIPBILLINGAMOUNT" localSheetId="5">FALSE</definedName>
    <definedName name="QBREPORTCOMPARECOL_TRIPBILLINGAMOUNT" localSheetId="7">FALSE</definedName>
    <definedName name="QBREPORTCOMPARECOL_TRIPBILLINGAMOUNT" localSheetId="2">FALSE</definedName>
    <definedName name="QBREPORTCOMPARECOL_TRIPBILLINGAMOUNT" localSheetId="8">FALSE</definedName>
    <definedName name="QBREPORTCOMPARECOL_TRIPBILLINGAMOUNT" localSheetId="6">FALSE</definedName>
    <definedName name="QBREPORTCOMPARECOL_TRIPBILLINGAMOUNT" localSheetId="3">FALSE</definedName>
    <definedName name="QBREPORTCOMPARECOL_TRIPMILES" localSheetId="10">FALSE</definedName>
    <definedName name="QBREPORTCOMPARECOL_TRIPMILES" localSheetId="9">FALSE</definedName>
    <definedName name="QBREPORTCOMPARECOL_TRIPMILES" localSheetId="1">FALSE</definedName>
    <definedName name="QBREPORTCOMPARECOL_TRIPMILES" localSheetId="0">FALSE</definedName>
    <definedName name="QBREPORTCOMPARECOL_TRIPMILES" localSheetId="5">FALSE</definedName>
    <definedName name="QBREPORTCOMPARECOL_TRIPMILES" localSheetId="7">FALSE</definedName>
    <definedName name="QBREPORTCOMPARECOL_TRIPMILES" localSheetId="2">FALSE</definedName>
    <definedName name="QBREPORTCOMPARECOL_TRIPMILES" localSheetId="8">FALSE</definedName>
    <definedName name="QBREPORTCOMPARECOL_TRIPMILES" localSheetId="6">FALSE</definedName>
    <definedName name="QBREPORTCOMPARECOL_TRIPMILES" localSheetId="3">FALSE</definedName>
    <definedName name="QBREPORTCOMPARECOL_TRIPNOTBILLABLEMILES" localSheetId="10">FALSE</definedName>
    <definedName name="QBREPORTCOMPARECOL_TRIPNOTBILLABLEMILES" localSheetId="9">FALSE</definedName>
    <definedName name="QBREPORTCOMPARECOL_TRIPNOTBILLABLEMILES" localSheetId="1">FALSE</definedName>
    <definedName name="QBREPORTCOMPARECOL_TRIPNOTBILLABLEMILES" localSheetId="0">FALSE</definedName>
    <definedName name="QBREPORTCOMPARECOL_TRIPNOTBILLABLEMILES" localSheetId="5">FALSE</definedName>
    <definedName name="QBREPORTCOMPARECOL_TRIPNOTBILLABLEMILES" localSheetId="7">FALSE</definedName>
    <definedName name="QBREPORTCOMPARECOL_TRIPNOTBILLABLEMILES" localSheetId="2">FALSE</definedName>
    <definedName name="QBREPORTCOMPARECOL_TRIPNOTBILLABLEMILES" localSheetId="8">FALSE</definedName>
    <definedName name="QBREPORTCOMPARECOL_TRIPNOTBILLABLEMILES" localSheetId="6">FALSE</definedName>
    <definedName name="QBREPORTCOMPARECOL_TRIPNOTBILLABLEMILES" localSheetId="3">FALSE</definedName>
    <definedName name="QBREPORTCOMPARECOL_TRIPTAXDEDUCTIBLEAMOUNT" localSheetId="10">FALSE</definedName>
    <definedName name="QBREPORTCOMPARECOL_TRIPTAXDEDUCTIBLEAMOUNT" localSheetId="9">FALSE</definedName>
    <definedName name="QBREPORTCOMPARECOL_TRIPTAXDEDUCTIBLEAMOUNT" localSheetId="1">FALSE</definedName>
    <definedName name="QBREPORTCOMPARECOL_TRIPTAXDEDUCTIBLEAMOUNT" localSheetId="0">FALSE</definedName>
    <definedName name="QBREPORTCOMPARECOL_TRIPTAXDEDUCTIBLEAMOUNT" localSheetId="5">FALSE</definedName>
    <definedName name="QBREPORTCOMPARECOL_TRIPTAXDEDUCTIBLEAMOUNT" localSheetId="7">FALSE</definedName>
    <definedName name="QBREPORTCOMPARECOL_TRIPTAXDEDUCTIBLEAMOUNT" localSheetId="2">FALSE</definedName>
    <definedName name="QBREPORTCOMPARECOL_TRIPTAXDEDUCTIBLEAMOUNT" localSheetId="8">FALSE</definedName>
    <definedName name="QBREPORTCOMPARECOL_TRIPTAXDEDUCTIBLEAMOUNT" localSheetId="6">FALSE</definedName>
    <definedName name="QBREPORTCOMPARECOL_TRIPTAXDEDUCTIBLEAMOUNT" localSheetId="3">FALSE</definedName>
    <definedName name="QBREPORTCOMPARECOL_TRIPUNBILLEDMILES" localSheetId="10">FALSE</definedName>
    <definedName name="QBREPORTCOMPARECOL_TRIPUNBILLEDMILES" localSheetId="9">FALSE</definedName>
    <definedName name="QBREPORTCOMPARECOL_TRIPUNBILLEDMILES" localSheetId="1">FALSE</definedName>
    <definedName name="QBREPORTCOMPARECOL_TRIPUNBILLEDMILES" localSheetId="0">FALSE</definedName>
    <definedName name="QBREPORTCOMPARECOL_TRIPUNBILLEDMILES" localSheetId="5">FALSE</definedName>
    <definedName name="QBREPORTCOMPARECOL_TRIPUNBILLEDMILES" localSheetId="7">FALSE</definedName>
    <definedName name="QBREPORTCOMPARECOL_TRIPUNBILLEDMILES" localSheetId="2">FALSE</definedName>
    <definedName name="QBREPORTCOMPARECOL_TRIPUNBILLEDMILES" localSheetId="8">FALSE</definedName>
    <definedName name="QBREPORTCOMPARECOL_TRIPUNBILLEDMILES" localSheetId="6">FALSE</definedName>
    <definedName name="QBREPORTCOMPARECOL_TRIPUNBILLEDMILES" localSheetId="3">FALSE</definedName>
    <definedName name="QBREPORTCOMPARECOL_YTD" localSheetId="10">FALSE</definedName>
    <definedName name="QBREPORTCOMPARECOL_YTD" localSheetId="9">FALSE</definedName>
    <definedName name="QBREPORTCOMPARECOL_YTD" localSheetId="1">FALSE</definedName>
    <definedName name="QBREPORTCOMPARECOL_YTD" localSheetId="0">FALSE</definedName>
    <definedName name="QBREPORTCOMPARECOL_YTD" localSheetId="5">FALSE</definedName>
    <definedName name="QBREPORTCOMPARECOL_YTD" localSheetId="7">FALSE</definedName>
    <definedName name="QBREPORTCOMPARECOL_YTD" localSheetId="2">FALSE</definedName>
    <definedName name="QBREPORTCOMPARECOL_YTD" localSheetId="8">FALSE</definedName>
    <definedName name="QBREPORTCOMPARECOL_YTD" localSheetId="6">FALSE</definedName>
    <definedName name="QBREPORTCOMPARECOL_YTD" localSheetId="3">FALSE</definedName>
    <definedName name="QBREPORTCOMPARECOL_YTDBUDGET" localSheetId="10">FALSE</definedName>
    <definedName name="QBREPORTCOMPARECOL_YTDBUDGET" localSheetId="9">FALSE</definedName>
    <definedName name="QBREPORTCOMPARECOL_YTDBUDGET" localSheetId="1">FALSE</definedName>
    <definedName name="QBREPORTCOMPARECOL_YTDBUDGET" localSheetId="0">FALSE</definedName>
    <definedName name="QBREPORTCOMPARECOL_YTDBUDGET" localSheetId="5">FALSE</definedName>
    <definedName name="QBREPORTCOMPARECOL_YTDBUDGET" localSheetId="7">FALSE</definedName>
    <definedName name="QBREPORTCOMPARECOL_YTDBUDGET" localSheetId="2">FALSE</definedName>
    <definedName name="QBREPORTCOMPARECOL_YTDBUDGET" localSheetId="8">FALSE</definedName>
    <definedName name="QBREPORTCOMPARECOL_YTDBUDGET" localSheetId="6">FALSE</definedName>
    <definedName name="QBREPORTCOMPARECOL_YTDBUDGET" localSheetId="3">FALSE</definedName>
    <definedName name="QBREPORTCOMPARECOL_YTDPCT" localSheetId="10">FALSE</definedName>
    <definedName name="QBREPORTCOMPARECOL_YTDPCT" localSheetId="9">FALSE</definedName>
    <definedName name="QBREPORTCOMPARECOL_YTDPCT" localSheetId="1">FALSE</definedName>
    <definedName name="QBREPORTCOMPARECOL_YTDPCT" localSheetId="0">FALSE</definedName>
    <definedName name="QBREPORTCOMPARECOL_YTDPCT" localSheetId="5">FALSE</definedName>
    <definedName name="QBREPORTCOMPARECOL_YTDPCT" localSheetId="7">FALSE</definedName>
    <definedName name="QBREPORTCOMPARECOL_YTDPCT" localSheetId="2">FALSE</definedName>
    <definedName name="QBREPORTCOMPARECOL_YTDPCT" localSheetId="8">FALSE</definedName>
    <definedName name="QBREPORTCOMPARECOL_YTDPCT" localSheetId="6">FALSE</definedName>
    <definedName name="QBREPORTCOMPARECOL_YTDPCT" localSheetId="3">FALSE</definedName>
    <definedName name="QBREPORTROWAXIS" localSheetId="10">11</definedName>
    <definedName name="QBREPORTROWAXIS" localSheetId="9">11</definedName>
    <definedName name="QBREPORTROWAXIS" localSheetId="1">11</definedName>
    <definedName name="QBREPORTROWAXIS" localSheetId="0">11</definedName>
    <definedName name="QBREPORTROWAXIS" localSheetId="5">11</definedName>
    <definedName name="QBREPORTROWAXIS" localSheetId="7">11</definedName>
    <definedName name="QBREPORTROWAXIS" localSheetId="2">11</definedName>
    <definedName name="QBREPORTROWAXIS" localSheetId="8">11</definedName>
    <definedName name="QBREPORTROWAXIS" localSheetId="6">11</definedName>
    <definedName name="QBREPORTROWAXIS" localSheetId="3">11</definedName>
    <definedName name="QBREPORTSUBCOLAXIS" localSheetId="10">0</definedName>
    <definedName name="QBREPORTSUBCOLAXIS" localSheetId="9">0</definedName>
    <definedName name="QBREPORTSUBCOLAXIS" localSheetId="1">0</definedName>
    <definedName name="QBREPORTSUBCOLAXIS" localSheetId="0">0</definedName>
    <definedName name="QBREPORTSUBCOLAXIS" localSheetId="5">0</definedName>
    <definedName name="QBREPORTSUBCOLAXIS" localSheetId="7">0</definedName>
    <definedName name="QBREPORTSUBCOLAXIS" localSheetId="2">0</definedName>
    <definedName name="QBREPORTSUBCOLAXIS" localSheetId="8">0</definedName>
    <definedName name="QBREPORTSUBCOLAXIS" localSheetId="6">0</definedName>
    <definedName name="QBREPORTSUBCOLAXIS" localSheetId="3">0</definedName>
    <definedName name="QBREPORTTYPE" localSheetId="10">0</definedName>
    <definedName name="QBREPORTTYPE" localSheetId="9">0</definedName>
    <definedName name="QBREPORTTYPE" localSheetId="1">0</definedName>
    <definedName name="QBREPORTTYPE" localSheetId="0">0</definedName>
    <definedName name="QBREPORTTYPE" localSheetId="5">0</definedName>
    <definedName name="QBREPORTTYPE" localSheetId="7">0</definedName>
    <definedName name="QBREPORTTYPE" localSheetId="2">0</definedName>
    <definedName name="QBREPORTTYPE" localSheetId="8">0</definedName>
    <definedName name="QBREPORTTYPE" localSheetId="6">0</definedName>
    <definedName name="QBREPORTTYPE" localSheetId="3">0</definedName>
    <definedName name="QBROWHEADERS" localSheetId="10">7</definedName>
    <definedName name="QBROWHEADERS" localSheetId="9">7</definedName>
    <definedName name="QBROWHEADERS" localSheetId="1">7</definedName>
    <definedName name="QBROWHEADERS" localSheetId="0">7</definedName>
    <definedName name="QBROWHEADERS" localSheetId="5">7</definedName>
    <definedName name="QBROWHEADERS" localSheetId="7">7</definedName>
    <definedName name="QBROWHEADERS" localSheetId="2">7</definedName>
    <definedName name="QBROWHEADERS" localSheetId="8">7</definedName>
    <definedName name="QBROWHEADERS" localSheetId="6">7</definedName>
    <definedName name="QBROWHEADERS" localSheetId="3">7</definedName>
    <definedName name="QBSTARTDATE" localSheetId="10">20200301</definedName>
    <definedName name="QBSTARTDATE" localSheetId="9">20210401</definedName>
    <definedName name="QBSTARTDATE" localSheetId="1">20210401</definedName>
    <definedName name="QBSTARTDATE" localSheetId="0">20210401</definedName>
    <definedName name="QBSTARTDATE" localSheetId="5">20210401</definedName>
    <definedName name="QBSTARTDATE" localSheetId="7">20210401</definedName>
    <definedName name="QBSTARTDATE" localSheetId="2">20210401</definedName>
    <definedName name="QBSTARTDATE" localSheetId="8">20210401</definedName>
    <definedName name="QBSTARTDATE" localSheetId="6">20210401</definedName>
    <definedName name="QBSTARTDATE" localSheetId="3">20210401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137" i="34" l="1"/>
  <c r="Z137" i="34"/>
  <c r="AA137" i="34"/>
  <c r="AB137" i="34"/>
  <c r="AC137" i="34"/>
  <c r="AK137" i="34" s="1"/>
  <c r="AD137" i="34"/>
  <c r="AE137" i="34"/>
  <c r="AF137" i="34"/>
  <c r="AG137" i="34"/>
  <c r="AH137" i="34"/>
  <c r="AI137" i="34"/>
  <c r="AJ137" i="34"/>
  <c r="Y47" i="34"/>
  <c r="Z47" i="34"/>
  <c r="AA47" i="34"/>
  <c r="AB47" i="34"/>
  <c r="AC47" i="34"/>
  <c r="AD47" i="34"/>
  <c r="AE47" i="34"/>
  <c r="AF47" i="34"/>
  <c r="AG47" i="34"/>
  <c r="AH47" i="34"/>
  <c r="AI47" i="34"/>
  <c r="Y51" i="34"/>
  <c r="Z51" i="34"/>
  <c r="AJ51" i="34" s="1"/>
  <c r="AA51" i="34"/>
  <c r="AB51" i="34"/>
  <c r="AC51" i="34"/>
  <c r="AD51" i="34"/>
  <c r="AE51" i="34"/>
  <c r="AF51" i="34"/>
  <c r="AG51" i="34"/>
  <c r="AH51" i="34"/>
  <c r="AI51" i="34"/>
  <c r="Y54" i="34"/>
  <c r="Z54" i="34"/>
  <c r="AJ54" i="34" s="1"/>
  <c r="AA54" i="34"/>
  <c r="AB54" i="34"/>
  <c r="AC54" i="34"/>
  <c r="AD54" i="34"/>
  <c r="AE54" i="34"/>
  <c r="AF54" i="34"/>
  <c r="AG54" i="34"/>
  <c r="AH54" i="34"/>
  <c r="AI54" i="34"/>
  <c r="Y55" i="34"/>
  <c r="AJ55" i="34" s="1"/>
  <c r="Z55" i="34"/>
  <c r="AA55" i="34"/>
  <c r="AB55" i="34"/>
  <c r="AC55" i="34"/>
  <c r="AD55" i="34"/>
  <c r="AE55" i="34"/>
  <c r="AF55" i="34"/>
  <c r="AG55" i="34"/>
  <c r="AH55" i="34"/>
  <c r="AI55" i="34"/>
  <c r="Y58" i="34"/>
  <c r="AJ58" i="34" s="1"/>
  <c r="Z58" i="34"/>
  <c r="AA58" i="34"/>
  <c r="AB58" i="34"/>
  <c r="AC58" i="34"/>
  <c r="AD58" i="34"/>
  <c r="AE58" i="34"/>
  <c r="AF58" i="34"/>
  <c r="AG58" i="34"/>
  <c r="AH58" i="34"/>
  <c r="AI58" i="34"/>
  <c r="Y59" i="34"/>
  <c r="Z59" i="34"/>
  <c r="AA59" i="34"/>
  <c r="AK59" i="34" s="1"/>
  <c r="AB59" i="34"/>
  <c r="AC59" i="34"/>
  <c r="AD59" i="34"/>
  <c r="AE59" i="34"/>
  <c r="AF59" i="34"/>
  <c r="AG59" i="34"/>
  <c r="AH59" i="34"/>
  <c r="AI59" i="34"/>
  <c r="AJ59" i="34"/>
  <c r="Y62" i="34"/>
  <c r="Z62" i="34"/>
  <c r="AA62" i="34"/>
  <c r="AB62" i="34"/>
  <c r="AC62" i="34"/>
  <c r="AD62" i="34"/>
  <c r="AE62" i="34"/>
  <c r="AF62" i="34"/>
  <c r="AG62" i="34"/>
  <c r="AH62" i="34"/>
  <c r="AI62" i="34"/>
  <c r="Y63" i="34"/>
  <c r="AJ63" i="34" s="1"/>
  <c r="Z63" i="34"/>
  <c r="AA63" i="34"/>
  <c r="AK63" i="34" s="1"/>
  <c r="AB63" i="34"/>
  <c r="AC63" i="34"/>
  <c r="AD63" i="34"/>
  <c r="AE63" i="34"/>
  <c r="AF63" i="34"/>
  <c r="AG63" i="34"/>
  <c r="AH63" i="34"/>
  <c r="AI63" i="34"/>
  <c r="Y64" i="34"/>
  <c r="Z64" i="34"/>
  <c r="AJ64" i="34" s="1"/>
  <c r="AA64" i="34"/>
  <c r="AB64" i="34"/>
  <c r="AC64" i="34"/>
  <c r="AD64" i="34"/>
  <c r="AE64" i="34"/>
  <c r="AF64" i="34"/>
  <c r="AG64" i="34"/>
  <c r="AH64" i="34"/>
  <c r="AI64" i="34"/>
  <c r="Y67" i="34"/>
  <c r="AJ67" i="34" s="1"/>
  <c r="Z67" i="34"/>
  <c r="AK67" i="34" s="1"/>
  <c r="AA67" i="34"/>
  <c r="AB67" i="34"/>
  <c r="AC67" i="34"/>
  <c r="AD67" i="34"/>
  <c r="AE67" i="34"/>
  <c r="AF67" i="34"/>
  <c r="AG67" i="34"/>
  <c r="AH67" i="34"/>
  <c r="AI67" i="34"/>
  <c r="Y68" i="34"/>
  <c r="AJ68" i="34" s="1"/>
  <c r="AK68" i="34" s="1"/>
  <c r="Z68" i="34"/>
  <c r="AA68" i="34"/>
  <c r="AB68" i="34"/>
  <c r="AC68" i="34"/>
  <c r="AD68" i="34"/>
  <c r="AE68" i="34"/>
  <c r="AF68" i="34"/>
  <c r="AG68" i="34"/>
  <c r="AH68" i="34"/>
  <c r="AI68" i="34"/>
  <c r="Y69" i="34"/>
  <c r="Z69" i="34"/>
  <c r="AA69" i="34"/>
  <c r="AB69" i="34"/>
  <c r="AC69" i="34"/>
  <c r="AD69" i="34"/>
  <c r="AE69" i="34"/>
  <c r="AF69" i="34"/>
  <c r="AG69" i="34"/>
  <c r="AH69" i="34"/>
  <c r="AI69" i="34"/>
  <c r="AJ69" i="34"/>
  <c r="Y74" i="34"/>
  <c r="Z74" i="34"/>
  <c r="AA74" i="34"/>
  <c r="AB74" i="34"/>
  <c r="AC74" i="34"/>
  <c r="AD74" i="34"/>
  <c r="AE74" i="34"/>
  <c r="AF74" i="34"/>
  <c r="AG74" i="34"/>
  <c r="AH74" i="34"/>
  <c r="AI74" i="34"/>
  <c r="Y75" i="34"/>
  <c r="AJ75" i="34" s="1"/>
  <c r="Z75" i="34"/>
  <c r="AA75" i="34"/>
  <c r="AB75" i="34"/>
  <c r="AC75" i="34"/>
  <c r="AD75" i="34"/>
  <c r="AE75" i="34"/>
  <c r="AF75" i="34"/>
  <c r="AG75" i="34"/>
  <c r="AH75" i="34"/>
  <c r="AI75" i="34"/>
  <c r="Y93" i="34"/>
  <c r="Z93" i="34"/>
  <c r="AJ93" i="34" s="1"/>
  <c r="AA93" i="34"/>
  <c r="AB93" i="34"/>
  <c r="AC93" i="34"/>
  <c r="AD93" i="34"/>
  <c r="AE93" i="34"/>
  <c r="AF93" i="34"/>
  <c r="AG93" i="34"/>
  <c r="AH93" i="34"/>
  <c r="AI93" i="34"/>
  <c r="Y94" i="34"/>
  <c r="AJ94" i="34" s="1"/>
  <c r="Z94" i="34"/>
  <c r="AA94" i="34"/>
  <c r="AB94" i="34"/>
  <c r="AC94" i="34"/>
  <c r="AD94" i="34"/>
  <c r="AE94" i="34"/>
  <c r="AF94" i="34"/>
  <c r="AG94" i="34"/>
  <c r="AH94" i="34"/>
  <c r="AI94" i="34"/>
  <c r="Y95" i="34"/>
  <c r="AJ95" i="34" s="1"/>
  <c r="AK95" i="34" s="1"/>
  <c r="Z95" i="34"/>
  <c r="AA95" i="34"/>
  <c r="AB95" i="34"/>
  <c r="AC95" i="34"/>
  <c r="AD95" i="34"/>
  <c r="AE95" i="34"/>
  <c r="AF95" i="34"/>
  <c r="AG95" i="34"/>
  <c r="AH95" i="34"/>
  <c r="AI95" i="34"/>
  <c r="Y96" i="34"/>
  <c r="Z96" i="34"/>
  <c r="AA96" i="34"/>
  <c r="AK96" i="34" s="1"/>
  <c r="AB96" i="34"/>
  <c r="AC96" i="34"/>
  <c r="AD96" i="34"/>
  <c r="AE96" i="34"/>
  <c r="AF96" i="34"/>
  <c r="AG96" i="34"/>
  <c r="AH96" i="34"/>
  <c r="AI96" i="34"/>
  <c r="AJ96" i="34"/>
  <c r="Y97" i="34"/>
  <c r="Z97" i="34"/>
  <c r="AA97" i="34"/>
  <c r="AB97" i="34"/>
  <c r="AC97" i="34"/>
  <c r="AD97" i="34"/>
  <c r="AE97" i="34"/>
  <c r="AF97" i="34"/>
  <c r="AG97" i="34"/>
  <c r="AH97" i="34"/>
  <c r="AI97" i="34"/>
  <c r="Y98" i="34"/>
  <c r="AJ98" i="34" s="1"/>
  <c r="Z98" i="34"/>
  <c r="AA98" i="34"/>
  <c r="AB98" i="34"/>
  <c r="AC98" i="34"/>
  <c r="AD98" i="34"/>
  <c r="AE98" i="34"/>
  <c r="AF98" i="34"/>
  <c r="AG98" i="34"/>
  <c r="AH98" i="34"/>
  <c r="AI98" i="34"/>
  <c r="Y99" i="34"/>
  <c r="Z99" i="34"/>
  <c r="AJ99" i="34" s="1"/>
  <c r="AA99" i="34"/>
  <c r="AB99" i="34"/>
  <c r="AC99" i="34"/>
  <c r="AD99" i="34"/>
  <c r="AE99" i="34"/>
  <c r="AF99" i="34"/>
  <c r="AG99" i="34"/>
  <c r="AH99" i="34"/>
  <c r="AI99" i="34"/>
  <c r="Y100" i="34"/>
  <c r="AJ100" i="34" s="1"/>
  <c r="Z100" i="34"/>
  <c r="AK100" i="34" s="1"/>
  <c r="AA100" i="34"/>
  <c r="AB100" i="34"/>
  <c r="AC100" i="34"/>
  <c r="AD100" i="34"/>
  <c r="AE100" i="34"/>
  <c r="AF100" i="34"/>
  <c r="AG100" i="34"/>
  <c r="AH100" i="34"/>
  <c r="AI100" i="34"/>
  <c r="Y101" i="34"/>
  <c r="Z101" i="34"/>
  <c r="AA101" i="34"/>
  <c r="AB101" i="34"/>
  <c r="AC101" i="34"/>
  <c r="AD101" i="34"/>
  <c r="AE101" i="34"/>
  <c r="AF101" i="34"/>
  <c r="AG101" i="34"/>
  <c r="AH101" i="34"/>
  <c r="AI101" i="34"/>
  <c r="Y102" i="34"/>
  <c r="Z102" i="34"/>
  <c r="AA102" i="34"/>
  <c r="AB102" i="34"/>
  <c r="AC102" i="34"/>
  <c r="AD102" i="34"/>
  <c r="AJ102" i="34" s="1"/>
  <c r="AE102" i="34"/>
  <c r="AF102" i="34"/>
  <c r="AG102" i="34"/>
  <c r="AH102" i="34"/>
  <c r="AI102" i="34"/>
  <c r="Y103" i="34"/>
  <c r="Z103" i="34"/>
  <c r="AA103" i="34"/>
  <c r="AB103" i="34"/>
  <c r="AC103" i="34"/>
  <c r="AD103" i="34"/>
  <c r="AE103" i="34"/>
  <c r="AF103" i="34"/>
  <c r="AG103" i="34"/>
  <c r="AH103" i="34"/>
  <c r="AI103" i="34"/>
  <c r="Y104" i="34"/>
  <c r="AJ104" i="34" s="1"/>
  <c r="Z104" i="34"/>
  <c r="AA104" i="34"/>
  <c r="AB104" i="34"/>
  <c r="AC104" i="34"/>
  <c r="AD104" i="34"/>
  <c r="AE104" i="34"/>
  <c r="AF104" i="34"/>
  <c r="AG104" i="34"/>
  <c r="AH104" i="34"/>
  <c r="AI104" i="34"/>
  <c r="Y105" i="34"/>
  <c r="Z105" i="34"/>
  <c r="AJ105" i="34" s="1"/>
  <c r="AA105" i="34"/>
  <c r="AB105" i="34"/>
  <c r="AC105" i="34"/>
  <c r="AD105" i="34"/>
  <c r="AE105" i="34"/>
  <c r="AF105" i="34"/>
  <c r="AG105" i="34"/>
  <c r="AH105" i="34"/>
  <c r="AI105" i="34"/>
  <c r="Y106" i="34"/>
  <c r="AJ106" i="34" s="1"/>
  <c r="Z106" i="34"/>
  <c r="AK106" i="34" s="1"/>
  <c r="AA106" i="34"/>
  <c r="AB106" i="34"/>
  <c r="AC106" i="34"/>
  <c r="AD106" i="34"/>
  <c r="AE106" i="34"/>
  <c r="AF106" i="34"/>
  <c r="AG106" i="34"/>
  <c r="AH106" i="34"/>
  <c r="AI106" i="34"/>
  <c r="Y107" i="34"/>
  <c r="AJ107" i="34" s="1"/>
  <c r="Z107" i="34"/>
  <c r="AA107" i="34"/>
  <c r="AB107" i="34"/>
  <c r="AC107" i="34"/>
  <c r="AD107" i="34"/>
  <c r="AE107" i="34"/>
  <c r="AF107" i="34"/>
  <c r="AG107" i="34"/>
  <c r="AH107" i="34"/>
  <c r="AI107" i="34"/>
  <c r="Y108" i="34"/>
  <c r="Z108" i="34"/>
  <c r="AA108" i="34"/>
  <c r="AB108" i="34"/>
  <c r="AC108" i="34"/>
  <c r="AD108" i="34"/>
  <c r="AE108" i="34"/>
  <c r="AF108" i="34"/>
  <c r="AG108" i="34"/>
  <c r="AH108" i="34"/>
  <c r="AI108" i="34"/>
  <c r="AJ108" i="34"/>
  <c r="Y110" i="34"/>
  <c r="AJ110" i="34" s="1"/>
  <c r="Z110" i="34"/>
  <c r="AA110" i="34"/>
  <c r="AK110" i="34" s="1"/>
  <c r="AB110" i="34"/>
  <c r="AC110" i="34"/>
  <c r="AD110" i="34"/>
  <c r="AE110" i="34"/>
  <c r="AF110" i="34"/>
  <c r="AG110" i="34"/>
  <c r="AH110" i="34"/>
  <c r="AI110" i="34"/>
  <c r="Y111" i="34"/>
  <c r="Z111" i="34"/>
  <c r="AJ111" i="34" s="1"/>
  <c r="AA111" i="34"/>
  <c r="AB111" i="34"/>
  <c r="AC111" i="34"/>
  <c r="AD111" i="34"/>
  <c r="AE111" i="34"/>
  <c r="AF111" i="34"/>
  <c r="AG111" i="34"/>
  <c r="AH111" i="34"/>
  <c r="AI111" i="34"/>
  <c r="Y112" i="34"/>
  <c r="AJ112" i="34" s="1"/>
  <c r="Z112" i="34"/>
  <c r="AK112" i="34" s="1"/>
  <c r="AA112" i="34"/>
  <c r="AB112" i="34"/>
  <c r="AC112" i="34"/>
  <c r="AD112" i="34"/>
  <c r="AE112" i="34"/>
  <c r="AF112" i="34"/>
  <c r="AG112" i="34"/>
  <c r="AH112" i="34"/>
  <c r="AI112" i="34"/>
  <c r="Y113" i="34"/>
  <c r="Z113" i="34"/>
  <c r="AA113" i="34"/>
  <c r="AB113" i="34"/>
  <c r="AC113" i="34"/>
  <c r="AD113" i="34"/>
  <c r="AE113" i="34"/>
  <c r="AF113" i="34"/>
  <c r="AG113" i="34"/>
  <c r="AH113" i="34"/>
  <c r="AI113" i="34"/>
  <c r="Y114" i="34"/>
  <c r="Z114" i="34"/>
  <c r="AA114" i="34"/>
  <c r="AK114" i="34" s="1"/>
  <c r="AB114" i="34"/>
  <c r="AC114" i="34"/>
  <c r="AD114" i="34"/>
  <c r="AE114" i="34"/>
  <c r="AF114" i="34"/>
  <c r="AG114" i="34"/>
  <c r="AH114" i="34"/>
  <c r="AI114" i="34"/>
  <c r="AJ114" i="34"/>
  <c r="Y115" i="34"/>
  <c r="Z115" i="34"/>
  <c r="AA115" i="34"/>
  <c r="AB115" i="34"/>
  <c r="AC115" i="34"/>
  <c r="AD115" i="34"/>
  <c r="AE115" i="34"/>
  <c r="AF115" i="34"/>
  <c r="AG115" i="34"/>
  <c r="AH115" i="34"/>
  <c r="AI115" i="34"/>
  <c r="Y116" i="34"/>
  <c r="AJ116" i="34" s="1"/>
  <c r="Z116" i="34"/>
  <c r="AA116" i="34"/>
  <c r="AB116" i="34"/>
  <c r="AC116" i="34"/>
  <c r="AD116" i="34"/>
  <c r="AE116" i="34"/>
  <c r="AF116" i="34"/>
  <c r="AG116" i="34"/>
  <c r="AH116" i="34"/>
  <c r="AI116" i="34"/>
  <c r="Y117" i="34"/>
  <c r="Z117" i="34"/>
  <c r="AJ117" i="34" s="1"/>
  <c r="AA117" i="34"/>
  <c r="AB117" i="34"/>
  <c r="AC117" i="34"/>
  <c r="AD117" i="34"/>
  <c r="AE117" i="34"/>
  <c r="AF117" i="34"/>
  <c r="AG117" i="34"/>
  <c r="AH117" i="34"/>
  <c r="AI117" i="34"/>
  <c r="Y118" i="34"/>
  <c r="AJ118" i="34" s="1"/>
  <c r="Z118" i="34"/>
  <c r="AA118" i="34"/>
  <c r="AB118" i="34"/>
  <c r="AC118" i="34"/>
  <c r="AD118" i="34"/>
  <c r="AE118" i="34"/>
  <c r="AF118" i="34"/>
  <c r="AG118" i="34"/>
  <c r="AH118" i="34"/>
  <c r="AI118" i="34"/>
  <c r="Y119" i="34"/>
  <c r="AJ119" i="34" s="1"/>
  <c r="Z119" i="34"/>
  <c r="AA119" i="34"/>
  <c r="AB119" i="34"/>
  <c r="AC119" i="34"/>
  <c r="AD119" i="34"/>
  <c r="AE119" i="34"/>
  <c r="AF119" i="34"/>
  <c r="AG119" i="34"/>
  <c r="AH119" i="34"/>
  <c r="AI119" i="34"/>
  <c r="Y120" i="34"/>
  <c r="Z120" i="34"/>
  <c r="AA120" i="34"/>
  <c r="AB120" i="34"/>
  <c r="AC120" i="34"/>
  <c r="AD120" i="34"/>
  <c r="AJ120" i="34" s="1"/>
  <c r="AE120" i="34"/>
  <c r="AF120" i="34"/>
  <c r="AG120" i="34"/>
  <c r="AH120" i="34"/>
  <c r="AI120" i="34"/>
  <c r="Y121" i="34"/>
  <c r="Z121" i="34"/>
  <c r="AA121" i="34"/>
  <c r="AB121" i="34"/>
  <c r="AC121" i="34"/>
  <c r="AD121" i="34"/>
  <c r="AE121" i="34"/>
  <c r="AF121" i="34"/>
  <c r="AG121" i="34"/>
  <c r="AH121" i="34"/>
  <c r="AI121" i="34"/>
  <c r="Y122" i="34"/>
  <c r="AJ122" i="34" s="1"/>
  <c r="Z122" i="34"/>
  <c r="AA122" i="34"/>
  <c r="AB122" i="34"/>
  <c r="AC122" i="34"/>
  <c r="AD122" i="34"/>
  <c r="AE122" i="34"/>
  <c r="AF122" i="34"/>
  <c r="AG122" i="34"/>
  <c r="AH122" i="34"/>
  <c r="AI122" i="34"/>
  <c r="Y123" i="34"/>
  <c r="Z123" i="34"/>
  <c r="AJ123" i="34" s="1"/>
  <c r="AA123" i="34"/>
  <c r="AB123" i="34"/>
  <c r="AC123" i="34"/>
  <c r="AD123" i="34"/>
  <c r="AE123" i="34"/>
  <c r="AF123" i="34"/>
  <c r="AG123" i="34"/>
  <c r="AH123" i="34"/>
  <c r="AI123" i="34"/>
  <c r="Y138" i="34"/>
  <c r="Z138" i="34"/>
  <c r="AJ138" i="34" s="1"/>
  <c r="AA138" i="34"/>
  <c r="AB138" i="34"/>
  <c r="AC138" i="34"/>
  <c r="AD138" i="34"/>
  <c r="AE138" i="34"/>
  <c r="AF138" i="34"/>
  <c r="AG138" i="34"/>
  <c r="AH138" i="34"/>
  <c r="AI138" i="34"/>
  <c r="Y139" i="34"/>
  <c r="AJ139" i="34" s="1"/>
  <c r="Z139" i="34"/>
  <c r="AA139" i="34"/>
  <c r="AB139" i="34"/>
  <c r="AC139" i="34"/>
  <c r="AD139" i="34"/>
  <c r="AE139" i="34"/>
  <c r="AF139" i="34"/>
  <c r="AG139" i="34"/>
  <c r="AH139" i="34"/>
  <c r="AI139" i="34"/>
  <c r="Y140" i="34"/>
  <c r="Z140" i="34"/>
  <c r="AA140" i="34"/>
  <c r="AB140" i="34"/>
  <c r="AC140" i="34"/>
  <c r="AD140" i="34"/>
  <c r="AE140" i="34"/>
  <c r="AF140" i="34"/>
  <c r="AG140" i="34"/>
  <c r="AH140" i="34"/>
  <c r="AI140" i="34"/>
  <c r="Y141" i="34"/>
  <c r="Z141" i="34"/>
  <c r="AA141" i="34"/>
  <c r="AK141" i="34" s="1"/>
  <c r="AB141" i="34"/>
  <c r="AC141" i="34"/>
  <c r="AD141" i="34"/>
  <c r="AE141" i="34"/>
  <c r="AF141" i="34"/>
  <c r="AG141" i="34"/>
  <c r="AH141" i="34"/>
  <c r="AI141" i="34"/>
  <c r="AJ141" i="34"/>
  <c r="Y142" i="34"/>
  <c r="Z142" i="34"/>
  <c r="AA142" i="34"/>
  <c r="AB142" i="34"/>
  <c r="AC142" i="34"/>
  <c r="AD142" i="34"/>
  <c r="AE142" i="34"/>
  <c r="AF142" i="34"/>
  <c r="AG142" i="34"/>
  <c r="AH142" i="34"/>
  <c r="AI142" i="34"/>
  <c r="Y143" i="34"/>
  <c r="AJ143" i="34" s="1"/>
  <c r="Z143" i="34"/>
  <c r="AA143" i="34"/>
  <c r="AK143" i="34" s="1"/>
  <c r="AB143" i="34"/>
  <c r="AC143" i="34"/>
  <c r="AD143" i="34"/>
  <c r="AE143" i="34"/>
  <c r="AF143" i="34"/>
  <c r="AG143" i="34"/>
  <c r="AH143" i="34"/>
  <c r="AI143" i="34"/>
  <c r="Y144" i="34"/>
  <c r="Z144" i="34"/>
  <c r="AJ144" i="34" s="1"/>
  <c r="AA144" i="34"/>
  <c r="AB144" i="34"/>
  <c r="AC144" i="34"/>
  <c r="AD144" i="34"/>
  <c r="AE144" i="34"/>
  <c r="AF144" i="34"/>
  <c r="AG144" i="34"/>
  <c r="AH144" i="34"/>
  <c r="AI144" i="34"/>
  <c r="Y145" i="34"/>
  <c r="AJ145" i="34" s="1"/>
  <c r="Z145" i="34"/>
  <c r="AK145" i="34" s="1"/>
  <c r="AA145" i="34"/>
  <c r="AB145" i="34"/>
  <c r="AC145" i="34"/>
  <c r="AD145" i="34"/>
  <c r="AE145" i="34"/>
  <c r="AF145" i="34"/>
  <c r="AG145" i="34"/>
  <c r="AH145" i="34"/>
  <c r="AI145" i="34"/>
  <c r="Y146" i="34"/>
  <c r="AJ146" i="34" s="1"/>
  <c r="Z146" i="34"/>
  <c r="AA146" i="34"/>
  <c r="AB146" i="34"/>
  <c r="AC146" i="34"/>
  <c r="AD146" i="34"/>
  <c r="AE146" i="34"/>
  <c r="AF146" i="34"/>
  <c r="AG146" i="34"/>
  <c r="AH146" i="34"/>
  <c r="AI146" i="34"/>
  <c r="Y147" i="34"/>
  <c r="Z147" i="34"/>
  <c r="AA147" i="34"/>
  <c r="AB147" i="34"/>
  <c r="AC147" i="34"/>
  <c r="AD147" i="34"/>
  <c r="AJ147" i="34" s="1"/>
  <c r="AE147" i="34"/>
  <c r="AF147" i="34"/>
  <c r="AG147" i="34"/>
  <c r="AH147" i="34"/>
  <c r="AI147" i="34"/>
  <c r="Y154" i="34"/>
  <c r="Z154" i="34"/>
  <c r="AA154" i="34"/>
  <c r="AB154" i="34"/>
  <c r="AC154" i="34"/>
  <c r="AD154" i="34"/>
  <c r="AE154" i="34"/>
  <c r="AF154" i="34"/>
  <c r="AG154" i="34"/>
  <c r="AH154" i="34"/>
  <c r="AI154" i="34"/>
  <c r="Y158" i="34"/>
  <c r="Z158" i="34"/>
  <c r="AA158" i="34"/>
  <c r="AJ158" i="34" s="1"/>
  <c r="AB158" i="34"/>
  <c r="AC158" i="34"/>
  <c r="AD158" i="34"/>
  <c r="AE158" i="34"/>
  <c r="AF158" i="34"/>
  <c r="AG158" i="34"/>
  <c r="AH158" i="34"/>
  <c r="AI158" i="34"/>
  <c r="Y159" i="34"/>
  <c r="Z159" i="34"/>
  <c r="AJ159" i="34" s="1"/>
  <c r="AA159" i="34"/>
  <c r="AB159" i="34"/>
  <c r="AC159" i="34"/>
  <c r="AD159" i="34"/>
  <c r="AE159" i="34"/>
  <c r="AF159" i="34"/>
  <c r="AG159" i="34"/>
  <c r="AH159" i="34"/>
  <c r="AI159" i="34"/>
  <c r="Y160" i="34"/>
  <c r="AJ160" i="34" s="1"/>
  <c r="Z160" i="34"/>
  <c r="AA160" i="34"/>
  <c r="AB160" i="34"/>
  <c r="AC160" i="34"/>
  <c r="AD160" i="34"/>
  <c r="AE160" i="34"/>
  <c r="AF160" i="34"/>
  <c r="AG160" i="34"/>
  <c r="AH160" i="34"/>
  <c r="AI160" i="34"/>
  <c r="Y161" i="34"/>
  <c r="AJ161" i="34" s="1"/>
  <c r="Z161" i="34"/>
  <c r="AA161" i="34"/>
  <c r="AB161" i="34"/>
  <c r="AC161" i="34"/>
  <c r="AD161" i="34"/>
  <c r="AE161" i="34"/>
  <c r="AK161" i="34" s="1"/>
  <c r="AF161" i="34"/>
  <c r="AG161" i="34"/>
  <c r="AH161" i="34"/>
  <c r="AI161" i="34"/>
  <c r="Y164" i="34"/>
  <c r="Z164" i="34"/>
  <c r="AA164" i="34"/>
  <c r="AB164" i="34"/>
  <c r="AC164" i="34"/>
  <c r="AD164" i="34"/>
  <c r="AE164" i="34"/>
  <c r="AF164" i="34"/>
  <c r="AG164" i="34"/>
  <c r="AH164" i="34"/>
  <c r="AI164" i="34"/>
  <c r="AJ164" i="34"/>
  <c r="Y167" i="34"/>
  <c r="Z167" i="34"/>
  <c r="AA167" i="34"/>
  <c r="AB167" i="34"/>
  <c r="AC167" i="34"/>
  <c r="AD167" i="34"/>
  <c r="AE167" i="34"/>
  <c r="AF167" i="34"/>
  <c r="AG167" i="34"/>
  <c r="AH167" i="34"/>
  <c r="AI167" i="34"/>
  <c r="Y168" i="34"/>
  <c r="Z168" i="34"/>
  <c r="AA168" i="34"/>
  <c r="AJ168" i="34" s="1"/>
  <c r="AB168" i="34"/>
  <c r="AC168" i="34"/>
  <c r="AD168" i="34"/>
  <c r="AE168" i="34"/>
  <c r="AF168" i="34"/>
  <c r="AG168" i="34"/>
  <c r="AH168" i="34"/>
  <c r="AI168" i="34"/>
  <c r="Y169" i="34"/>
  <c r="Z169" i="34"/>
  <c r="AJ169" i="34" s="1"/>
  <c r="AA169" i="34"/>
  <c r="AB169" i="34"/>
  <c r="AC169" i="34"/>
  <c r="AD169" i="34"/>
  <c r="AE169" i="34"/>
  <c r="AF169" i="34"/>
  <c r="AG169" i="34"/>
  <c r="AH169" i="34"/>
  <c r="AI169" i="34"/>
  <c r="Y172" i="34"/>
  <c r="AJ172" i="34" s="1"/>
  <c r="Z172" i="34"/>
  <c r="AK172" i="34" s="1"/>
  <c r="AA172" i="34"/>
  <c r="AB172" i="34"/>
  <c r="AC172" i="34"/>
  <c r="AD172" i="34"/>
  <c r="AE172" i="34"/>
  <c r="AF172" i="34"/>
  <c r="AG172" i="34"/>
  <c r="AH172" i="34"/>
  <c r="AI172" i="34"/>
  <c r="Y173" i="34"/>
  <c r="Z173" i="34"/>
  <c r="AA173" i="34"/>
  <c r="AB173" i="34"/>
  <c r="AC173" i="34"/>
  <c r="AD173" i="34"/>
  <c r="AE173" i="34"/>
  <c r="AF173" i="34"/>
  <c r="AG173" i="34"/>
  <c r="AH173" i="34"/>
  <c r="AI173" i="34"/>
  <c r="Y174" i="34"/>
  <c r="Z174" i="34"/>
  <c r="AA174" i="34"/>
  <c r="AB174" i="34"/>
  <c r="AC174" i="34"/>
  <c r="AK174" i="34" s="1"/>
  <c r="AD174" i="34"/>
  <c r="AJ174" i="34" s="1"/>
  <c r="AE174" i="34"/>
  <c r="AF174" i="34"/>
  <c r="AG174" i="34"/>
  <c r="AH174" i="34"/>
  <c r="AI174" i="34"/>
  <c r="Y46" i="34"/>
  <c r="Z46" i="34"/>
  <c r="AJ46" i="34"/>
  <c r="AK46" i="34" s="1"/>
  <c r="AJ45" i="34"/>
  <c r="AK45" i="34" s="1"/>
  <c r="AJ44" i="34"/>
  <c r="AK44" i="34" s="1"/>
  <c r="AJ43" i="34"/>
  <c r="AK43" i="34" s="1"/>
  <c r="AK31" i="34"/>
  <c r="AK29" i="34"/>
  <c r="AK28" i="34"/>
  <c r="AJ33" i="34"/>
  <c r="AK33" i="34" s="1"/>
  <c r="AJ32" i="34"/>
  <c r="AK32" i="34" s="1"/>
  <c r="AJ31" i="34"/>
  <c r="AJ30" i="34"/>
  <c r="AK30" i="34" s="1"/>
  <c r="AJ29" i="34"/>
  <c r="AJ28" i="34"/>
  <c r="AJ27" i="34"/>
  <c r="AK27" i="34" s="1"/>
  <c r="AJ26" i="34"/>
  <c r="AK26" i="34" s="1"/>
  <c r="AI46" i="34"/>
  <c r="AH46" i="34"/>
  <c r="AG46" i="34"/>
  <c r="AF46" i="34"/>
  <c r="AE46" i="34"/>
  <c r="AD46" i="34"/>
  <c r="AC46" i="34"/>
  <c r="AB46" i="34"/>
  <c r="AA46" i="34"/>
  <c r="AD44" i="34"/>
  <c r="AJ14" i="34"/>
  <c r="AK14" i="34" s="1"/>
  <c r="AJ13" i="34"/>
  <c r="AK13" i="34" s="1"/>
  <c r="AJ12" i="34"/>
  <c r="AK12" i="34" s="1"/>
  <c r="AJ10" i="34"/>
  <c r="AK10" i="34" s="1"/>
  <c r="AJ9" i="34"/>
  <c r="AK9" i="34" s="1"/>
  <c r="AJ8" i="34"/>
  <c r="AK8" i="34" s="1"/>
  <c r="AJ7" i="34"/>
  <c r="AK7" i="34" s="1"/>
  <c r="AD45" i="34"/>
  <c r="AI43" i="34"/>
  <c r="AH43" i="34"/>
  <c r="AG43" i="34"/>
  <c r="AF43" i="34"/>
  <c r="AE43" i="34"/>
  <c r="AD43" i="34"/>
  <c r="AC43" i="34"/>
  <c r="AB43" i="34"/>
  <c r="AA43" i="34"/>
  <c r="Z43" i="34"/>
  <c r="Y43" i="34"/>
  <c r="AI37" i="34"/>
  <c r="AH37" i="34"/>
  <c r="AG37" i="34"/>
  <c r="AF37" i="34"/>
  <c r="AE37" i="34"/>
  <c r="AD37" i="34"/>
  <c r="AC37" i="34"/>
  <c r="AB37" i="34"/>
  <c r="AA37" i="34"/>
  <c r="Z37" i="34"/>
  <c r="Y37" i="34"/>
  <c r="AI36" i="34"/>
  <c r="AH36" i="34"/>
  <c r="AG36" i="34"/>
  <c r="AF36" i="34"/>
  <c r="AE36" i="34"/>
  <c r="AD36" i="34"/>
  <c r="AC36" i="34"/>
  <c r="AB36" i="34"/>
  <c r="AA36" i="34"/>
  <c r="Z36" i="34"/>
  <c r="Y36" i="34"/>
  <c r="AI33" i="34"/>
  <c r="AH33" i="34"/>
  <c r="AG33" i="34"/>
  <c r="AF33" i="34"/>
  <c r="AE33" i="34"/>
  <c r="AD33" i="34"/>
  <c r="AC33" i="34"/>
  <c r="AB33" i="34"/>
  <c r="AA33" i="34"/>
  <c r="Z33" i="34"/>
  <c r="Y33" i="34"/>
  <c r="AI32" i="34"/>
  <c r="AH32" i="34"/>
  <c r="AG32" i="34"/>
  <c r="AF32" i="34"/>
  <c r="AE32" i="34"/>
  <c r="AD32" i="34"/>
  <c r="AC32" i="34"/>
  <c r="AB32" i="34"/>
  <c r="AA32" i="34"/>
  <c r="Z32" i="34"/>
  <c r="Y32" i="34"/>
  <c r="AI31" i="34"/>
  <c r="AH31" i="34"/>
  <c r="AG31" i="34"/>
  <c r="AF31" i="34"/>
  <c r="AE31" i="34"/>
  <c r="AD31" i="34"/>
  <c r="AC31" i="34"/>
  <c r="AB31" i="34"/>
  <c r="AA31" i="34"/>
  <c r="Z31" i="34"/>
  <c r="Y31" i="34"/>
  <c r="AI30" i="34"/>
  <c r="AH30" i="34"/>
  <c r="AG30" i="34"/>
  <c r="AF30" i="34"/>
  <c r="AE30" i="34"/>
  <c r="AD30" i="34"/>
  <c r="AC30" i="34"/>
  <c r="AB30" i="34"/>
  <c r="AA30" i="34"/>
  <c r="Z30" i="34"/>
  <c r="Y30" i="34"/>
  <c r="AI29" i="34"/>
  <c r="AH29" i="34"/>
  <c r="AG29" i="34"/>
  <c r="AF29" i="34"/>
  <c r="AE29" i="34"/>
  <c r="AD29" i="34"/>
  <c r="AC29" i="34"/>
  <c r="AB29" i="34"/>
  <c r="AA29" i="34"/>
  <c r="Z29" i="34"/>
  <c r="Y29" i="34"/>
  <c r="AI26" i="34"/>
  <c r="AH26" i="34"/>
  <c r="AG26" i="34"/>
  <c r="AF26" i="34"/>
  <c r="AE26" i="34"/>
  <c r="AD26" i="34"/>
  <c r="AC26" i="34"/>
  <c r="AB26" i="34"/>
  <c r="AA26" i="34"/>
  <c r="Z26" i="34"/>
  <c r="Y26" i="34"/>
  <c r="AH21" i="34"/>
  <c r="AE21" i="34"/>
  <c r="AB21" i="34"/>
  <c r="AH20" i="34"/>
  <c r="AE20" i="34"/>
  <c r="AB20" i="34"/>
  <c r="AH19" i="34"/>
  <c r="AE19" i="34"/>
  <c r="AB19" i="34"/>
  <c r="AI17" i="34"/>
  <c r="AH17" i="34"/>
  <c r="AG17" i="34"/>
  <c r="AF17" i="34"/>
  <c r="AE17" i="34"/>
  <c r="AD17" i="34"/>
  <c r="AC17" i="34"/>
  <c r="AB17" i="34"/>
  <c r="AA17" i="34"/>
  <c r="Z17" i="34"/>
  <c r="Y17" i="34"/>
  <c r="AD11" i="34"/>
  <c r="AB6" i="34"/>
  <c r="AK69" i="34" l="1"/>
  <c r="AK55" i="34"/>
  <c r="AK164" i="34"/>
  <c r="AK108" i="34"/>
  <c r="AK147" i="34"/>
  <c r="AK139" i="34"/>
  <c r="AK104" i="34"/>
  <c r="AK98" i="34"/>
  <c r="AK118" i="34"/>
  <c r="AK75" i="34"/>
  <c r="AK120" i="34"/>
  <c r="AK51" i="34"/>
  <c r="AK160" i="34"/>
  <c r="AK122" i="34"/>
  <c r="AK116" i="34"/>
  <c r="AK102" i="34"/>
  <c r="AK94" i="34"/>
  <c r="AK146" i="34"/>
  <c r="AK119" i="34"/>
  <c r="AK58" i="34"/>
  <c r="AJ167" i="34"/>
  <c r="AK167" i="34" s="1"/>
  <c r="AJ154" i="34"/>
  <c r="AK154" i="34" s="1"/>
  <c r="AJ142" i="34"/>
  <c r="AK142" i="34" s="1"/>
  <c r="AJ121" i="34"/>
  <c r="AK121" i="34" s="1"/>
  <c r="AJ115" i="34"/>
  <c r="AK115" i="34" s="1"/>
  <c r="AJ109" i="34"/>
  <c r="AK109" i="34" s="1"/>
  <c r="AJ103" i="34"/>
  <c r="AK103" i="34" s="1"/>
  <c r="AJ97" i="34"/>
  <c r="AK97" i="34" s="1"/>
  <c r="AJ74" i="34"/>
  <c r="AK74" i="34" s="1"/>
  <c r="AJ62" i="34"/>
  <c r="AK62" i="34" s="1"/>
  <c r="AJ47" i="34"/>
  <c r="AK47" i="34" s="1"/>
  <c r="AK107" i="34"/>
  <c r="AJ173" i="34"/>
  <c r="AK173" i="34" s="1"/>
  <c r="AJ140" i="34"/>
  <c r="AK140" i="34" s="1"/>
  <c r="AJ113" i="34"/>
  <c r="AK113" i="34" s="1"/>
  <c r="AJ101" i="34"/>
  <c r="AK101" i="34" s="1"/>
  <c r="AK169" i="34"/>
  <c r="AK159" i="34"/>
  <c r="AK144" i="34"/>
  <c r="AK138" i="34"/>
  <c r="AK123" i="34"/>
  <c r="AK117" i="34"/>
  <c r="AK111" i="34"/>
  <c r="AK105" i="34"/>
  <c r="AK99" i="34"/>
  <c r="AK93" i="34"/>
  <c r="AK64" i="34"/>
  <c r="AK54" i="34"/>
  <c r="AK168" i="34"/>
  <c r="AK158" i="34"/>
  <c r="AJ19" i="34"/>
  <c r="AK19" i="34"/>
  <c r="AJ17" i="34"/>
  <c r="AK17" i="34" s="1"/>
  <c r="AJ11" i="34"/>
  <c r="AK11" i="34" s="1"/>
  <c r="AJ6" i="34"/>
  <c r="AK6" i="34" s="1"/>
  <c r="AJ20" i="34"/>
  <c r="AK20" i="34" s="1"/>
  <c r="AJ21" i="34"/>
  <c r="AK21" i="34" s="1"/>
  <c r="AJ36" i="34"/>
  <c r="AK36" i="34" s="1"/>
  <c r="AJ37" i="34"/>
  <c r="AK37" i="34" s="1"/>
  <c r="W182" i="34" l="1"/>
  <c r="W183" i="34" s="1"/>
  <c r="V182" i="34"/>
  <c r="V183" i="34" s="1"/>
  <c r="S182" i="34"/>
  <c r="S183" i="34" s="1"/>
  <c r="R182" i="34"/>
  <c r="R183" i="34" s="1"/>
  <c r="Q182" i="34"/>
  <c r="Q183" i="34" s="1"/>
  <c r="P182" i="34"/>
  <c r="P183" i="34" s="1"/>
  <c r="O182" i="34"/>
  <c r="O183" i="34" s="1"/>
  <c r="N182" i="34"/>
  <c r="N183" i="34" s="1"/>
  <c r="M182" i="34"/>
  <c r="M183" i="34" s="1"/>
  <c r="L182" i="34"/>
  <c r="L183" i="34" s="1"/>
  <c r="K182" i="34"/>
  <c r="K183" i="34" s="1"/>
  <c r="J182" i="34"/>
  <c r="J183" i="34" s="1"/>
  <c r="I182" i="34"/>
  <c r="I183" i="34" s="1"/>
  <c r="H182" i="34"/>
  <c r="U181" i="34"/>
  <c r="U180" i="34"/>
  <c r="U179" i="34"/>
  <c r="W174" i="34"/>
  <c r="W170" i="34"/>
  <c r="V170" i="34"/>
  <c r="S170" i="34"/>
  <c r="R170" i="34"/>
  <c r="Q170" i="34"/>
  <c r="P170" i="34"/>
  <c r="O170" i="34"/>
  <c r="N170" i="34"/>
  <c r="M170" i="34"/>
  <c r="L170" i="34"/>
  <c r="K170" i="34"/>
  <c r="J170" i="34"/>
  <c r="I170" i="34"/>
  <c r="H170" i="34"/>
  <c r="U169" i="34"/>
  <c r="W165" i="34"/>
  <c r="V165" i="34"/>
  <c r="S165" i="34"/>
  <c r="R165" i="34"/>
  <c r="Q165" i="34"/>
  <c r="P165" i="34"/>
  <c r="O165" i="34"/>
  <c r="N165" i="34"/>
  <c r="M165" i="34"/>
  <c r="L165" i="34"/>
  <c r="K165" i="34"/>
  <c r="J165" i="34"/>
  <c r="I165" i="34"/>
  <c r="H165" i="34"/>
  <c r="U164" i="34"/>
  <c r="W162" i="34"/>
  <c r="W171" i="34" s="1"/>
  <c r="V162" i="34"/>
  <c r="S162" i="34"/>
  <c r="R162" i="34"/>
  <c r="Q162" i="34"/>
  <c r="P162" i="34"/>
  <c r="O162" i="34"/>
  <c r="O171" i="34" s="1"/>
  <c r="N162" i="34"/>
  <c r="M162" i="34"/>
  <c r="L162" i="34"/>
  <c r="K162" i="34"/>
  <c r="J162" i="34"/>
  <c r="I162" i="34"/>
  <c r="I171" i="34" s="1"/>
  <c r="H162" i="34"/>
  <c r="U159" i="34"/>
  <c r="U154" i="34"/>
  <c r="W153" i="34"/>
  <c r="V153" i="34"/>
  <c r="V155" i="34" s="1"/>
  <c r="S153" i="34"/>
  <c r="S155" i="34" s="1"/>
  <c r="R153" i="34"/>
  <c r="R155" i="34" s="1"/>
  <c r="Q153" i="34"/>
  <c r="Q155" i="34" s="1"/>
  <c r="P153" i="34"/>
  <c r="P155" i="34" s="1"/>
  <c r="O153" i="34"/>
  <c r="O155" i="34" s="1"/>
  <c r="N153" i="34"/>
  <c r="N155" i="34" s="1"/>
  <c r="M153" i="34"/>
  <c r="M155" i="34" s="1"/>
  <c r="L153" i="34"/>
  <c r="L155" i="34" s="1"/>
  <c r="K153" i="34"/>
  <c r="K155" i="34" s="1"/>
  <c r="J153" i="34"/>
  <c r="J155" i="34" s="1"/>
  <c r="I153" i="34"/>
  <c r="I155" i="34" s="1"/>
  <c r="H153" i="34"/>
  <c r="H155" i="34" s="1"/>
  <c r="U152" i="34"/>
  <c r="W148" i="34"/>
  <c r="V148" i="34"/>
  <c r="S148" i="34"/>
  <c r="R148" i="34"/>
  <c r="Q148" i="34"/>
  <c r="P148" i="34"/>
  <c r="O148" i="34"/>
  <c r="N148" i="34"/>
  <c r="M148" i="34"/>
  <c r="K148" i="34"/>
  <c r="J148" i="34"/>
  <c r="I148" i="34"/>
  <c r="H148" i="34"/>
  <c r="U147" i="34"/>
  <c r="U146" i="34"/>
  <c r="U145" i="34"/>
  <c r="U144" i="34"/>
  <c r="U142" i="34"/>
  <c r="U141" i="34"/>
  <c r="U140" i="34"/>
  <c r="U139" i="34"/>
  <c r="U138" i="34"/>
  <c r="L137" i="34"/>
  <c r="L148" i="34" s="1"/>
  <c r="W124" i="34"/>
  <c r="V124" i="34"/>
  <c r="R124" i="34"/>
  <c r="Q124" i="34"/>
  <c r="P124" i="34"/>
  <c r="O124" i="34"/>
  <c r="N124" i="34"/>
  <c r="M124" i="34"/>
  <c r="L124" i="34"/>
  <c r="K124" i="34"/>
  <c r="J124" i="34"/>
  <c r="I124" i="34"/>
  <c r="H124" i="34"/>
  <c r="U123" i="34"/>
  <c r="U122" i="34"/>
  <c r="U121" i="34"/>
  <c r="U120" i="34"/>
  <c r="U119" i="34"/>
  <c r="U118" i="34"/>
  <c r="U117" i="34"/>
  <c r="U115" i="34"/>
  <c r="U114" i="34"/>
  <c r="U113" i="34"/>
  <c r="U112" i="34"/>
  <c r="S110" i="34"/>
  <c r="S124" i="34" s="1"/>
  <c r="U109" i="34"/>
  <c r="U108" i="34"/>
  <c r="U107" i="34"/>
  <c r="U106" i="34"/>
  <c r="U105" i="34"/>
  <c r="U104" i="34"/>
  <c r="U103" i="34"/>
  <c r="U102" i="34"/>
  <c r="U101" i="34"/>
  <c r="U100" i="34"/>
  <c r="U99" i="34"/>
  <c r="U98" i="34"/>
  <c r="U97" i="34"/>
  <c r="U96" i="34"/>
  <c r="U95" i="34"/>
  <c r="U94" i="34"/>
  <c r="U93" i="34"/>
  <c r="W76" i="34"/>
  <c r="V76" i="34"/>
  <c r="S76" i="34"/>
  <c r="R76" i="34"/>
  <c r="Q76" i="34"/>
  <c r="P76" i="34"/>
  <c r="O76" i="34"/>
  <c r="N76" i="34"/>
  <c r="M76" i="34"/>
  <c r="L76" i="34"/>
  <c r="K76" i="34"/>
  <c r="J76" i="34"/>
  <c r="I76" i="34"/>
  <c r="H76" i="34"/>
  <c r="U75" i="34"/>
  <c r="U74" i="34"/>
  <c r="W70" i="34"/>
  <c r="V70" i="34"/>
  <c r="S70" i="34"/>
  <c r="R70" i="34"/>
  <c r="Q70" i="34"/>
  <c r="P70" i="34"/>
  <c r="O70" i="34"/>
  <c r="N70" i="34"/>
  <c r="M70" i="34"/>
  <c r="L70" i="34"/>
  <c r="K70" i="34"/>
  <c r="J70" i="34"/>
  <c r="I70" i="34"/>
  <c r="H70" i="34"/>
  <c r="U69" i="34"/>
  <c r="U67" i="34"/>
  <c r="W65" i="34"/>
  <c r="V65" i="34"/>
  <c r="S65" i="34"/>
  <c r="R65" i="34"/>
  <c r="Q65" i="34"/>
  <c r="P65" i="34"/>
  <c r="O65" i="34"/>
  <c r="N65" i="34"/>
  <c r="M65" i="34"/>
  <c r="L65" i="34"/>
  <c r="K65" i="34"/>
  <c r="J65" i="34"/>
  <c r="I65" i="34"/>
  <c r="H65" i="34"/>
  <c r="U64" i="34"/>
  <c r="U63" i="34"/>
  <c r="U62" i="34"/>
  <c r="W60" i="34"/>
  <c r="V60" i="34"/>
  <c r="S60" i="34"/>
  <c r="R60" i="34"/>
  <c r="Q60" i="34"/>
  <c r="P60" i="34"/>
  <c r="O60" i="34"/>
  <c r="N60" i="34"/>
  <c r="M60" i="34"/>
  <c r="L60" i="34"/>
  <c r="K60" i="34"/>
  <c r="J60" i="34"/>
  <c r="I60" i="34"/>
  <c r="H60" i="34"/>
  <c r="U59" i="34"/>
  <c r="U58" i="34"/>
  <c r="W56" i="34"/>
  <c r="V56" i="34"/>
  <c r="S56" i="34"/>
  <c r="R56" i="34"/>
  <c r="Q56" i="34"/>
  <c r="P56" i="34"/>
  <c r="O56" i="34"/>
  <c r="N56" i="34"/>
  <c r="M56" i="34"/>
  <c r="L56" i="34"/>
  <c r="K56" i="34"/>
  <c r="J56" i="34"/>
  <c r="I56" i="34"/>
  <c r="H56" i="34"/>
  <c r="U55" i="34"/>
  <c r="U54" i="34"/>
  <c r="W52" i="34"/>
  <c r="V52" i="34"/>
  <c r="S52" i="34"/>
  <c r="R52" i="34"/>
  <c r="Q52" i="34"/>
  <c r="P52" i="34"/>
  <c r="O52" i="34"/>
  <c r="N52" i="34"/>
  <c r="M52" i="34"/>
  <c r="L52" i="34"/>
  <c r="K52" i="34"/>
  <c r="J52" i="34"/>
  <c r="I52" i="34"/>
  <c r="H52" i="34"/>
  <c r="U51" i="34"/>
  <c r="W47" i="34"/>
  <c r="V47" i="34"/>
  <c r="S47" i="34"/>
  <c r="R47" i="34"/>
  <c r="Q47" i="34"/>
  <c r="P47" i="34"/>
  <c r="O47" i="34"/>
  <c r="N47" i="34"/>
  <c r="M47" i="34"/>
  <c r="L47" i="34"/>
  <c r="K47" i="34"/>
  <c r="J47" i="34"/>
  <c r="I47" i="34"/>
  <c r="H47" i="34"/>
  <c r="U46" i="34"/>
  <c r="U45" i="34"/>
  <c r="U44" i="34"/>
  <c r="U43" i="34"/>
  <c r="W38" i="34"/>
  <c r="V38" i="34"/>
  <c r="S38" i="34"/>
  <c r="R38" i="34"/>
  <c r="Q38" i="34"/>
  <c r="P38" i="34"/>
  <c r="O38" i="34"/>
  <c r="N38" i="34"/>
  <c r="M38" i="34"/>
  <c r="L38" i="34"/>
  <c r="K38" i="34"/>
  <c r="J38" i="34"/>
  <c r="I38" i="34"/>
  <c r="H38" i="34"/>
  <c r="U37" i="34"/>
  <c r="V34" i="34"/>
  <c r="R34" i="34"/>
  <c r="Q34" i="34"/>
  <c r="P34" i="34"/>
  <c r="O34" i="34"/>
  <c r="N34" i="34"/>
  <c r="M34" i="34"/>
  <c r="L34" i="34"/>
  <c r="K34" i="34"/>
  <c r="J34" i="34"/>
  <c r="I34" i="34"/>
  <c r="H34" i="34"/>
  <c r="U33" i="34"/>
  <c r="U32" i="34"/>
  <c r="U31" i="34"/>
  <c r="U30" i="34"/>
  <c r="U29" i="34"/>
  <c r="W28" i="34"/>
  <c r="S28" i="34"/>
  <c r="U28" i="34" s="1"/>
  <c r="W27" i="34"/>
  <c r="S27" i="34"/>
  <c r="U27" i="34" s="1"/>
  <c r="U26" i="34"/>
  <c r="U25" i="34"/>
  <c r="W24" i="34"/>
  <c r="S24" i="34"/>
  <c r="V22" i="34"/>
  <c r="S22" i="34"/>
  <c r="R22" i="34"/>
  <c r="Q22" i="34"/>
  <c r="P22" i="34"/>
  <c r="O22" i="34"/>
  <c r="N22" i="34"/>
  <c r="M22" i="34"/>
  <c r="L22" i="34"/>
  <c r="K22" i="34"/>
  <c r="J22" i="34"/>
  <c r="I22" i="34"/>
  <c r="H22" i="34"/>
  <c r="U21" i="34"/>
  <c r="U20" i="34"/>
  <c r="U19" i="34"/>
  <c r="W18" i="34"/>
  <c r="U18" i="34"/>
  <c r="U17" i="34"/>
  <c r="V15" i="34"/>
  <c r="S15" i="34"/>
  <c r="R15" i="34"/>
  <c r="Q15" i="34"/>
  <c r="P15" i="34"/>
  <c r="O15" i="34"/>
  <c r="N15" i="34"/>
  <c r="M15" i="34"/>
  <c r="L15" i="34"/>
  <c r="K15" i="34"/>
  <c r="J15" i="34"/>
  <c r="I15" i="34"/>
  <c r="H15" i="34"/>
  <c r="U14" i="34"/>
  <c r="U13" i="34"/>
  <c r="U12" i="34"/>
  <c r="U11" i="34"/>
  <c r="U10" i="34"/>
  <c r="U9" i="34"/>
  <c r="U8" i="34"/>
  <c r="U7" i="34"/>
  <c r="U6" i="34"/>
  <c r="W5" i="34"/>
  <c r="U5" i="34"/>
  <c r="BA185" i="33"/>
  <c r="BA186" i="33" s="1"/>
  <c r="AZ185" i="33"/>
  <c r="AZ186" i="33" s="1"/>
  <c r="AW185" i="33"/>
  <c r="AW186" i="33" s="1"/>
  <c r="AV185" i="33"/>
  <c r="AV186" i="33" s="1"/>
  <c r="AU185" i="33"/>
  <c r="AU186" i="33" s="1"/>
  <c r="AT185" i="33"/>
  <c r="AT186" i="33" s="1"/>
  <c r="AS185" i="33"/>
  <c r="AS186" i="33" s="1"/>
  <c r="AR185" i="33"/>
  <c r="AR186" i="33" s="1"/>
  <c r="AQ185" i="33"/>
  <c r="AQ186" i="33" s="1"/>
  <c r="AP185" i="33"/>
  <c r="AP186" i="33" s="1"/>
  <c r="AO185" i="33"/>
  <c r="AO186" i="33" s="1"/>
  <c r="AN185" i="33"/>
  <c r="AN186" i="33" s="1"/>
  <c r="AM185" i="33"/>
  <c r="AM186" i="33" s="1"/>
  <c r="AL185" i="33"/>
  <c r="AY185" i="33" s="1"/>
  <c r="AY184" i="33"/>
  <c r="AY183" i="33"/>
  <c r="Q183" i="33"/>
  <c r="P183" i="33"/>
  <c r="W182" i="33"/>
  <c r="W183" i="33" s="1"/>
  <c r="V182" i="33"/>
  <c r="V183" i="33" s="1"/>
  <c r="S182" i="33"/>
  <c r="S183" i="33" s="1"/>
  <c r="R182" i="33"/>
  <c r="R183" i="33" s="1"/>
  <c r="Q182" i="33"/>
  <c r="P182" i="33"/>
  <c r="O182" i="33"/>
  <c r="O183" i="33" s="1"/>
  <c r="N182" i="33"/>
  <c r="N183" i="33" s="1"/>
  <c r="M182" i="33"/>
  <c r="M183" i="33" s="1"/>
  <c r="L182" i="33"/>
  <c r="L183" i="33" s="1"/>
  <c r="K182" i="33"/>
  <c r="K183" i="33" s="1"/>
  <c r="J182" i="33"/>
  <c r="J183" i="33" s="1"/>
  <c r="I182" i="33"/>
  <c r="I183" i="33" s="1"/>
  <c r="H182" i="33"/>
  <c r="U182" i="33" s="1"/>
  <c r="U181" i="33"/>
  <c r="U180" i="33"/>
  <c r="AX179" i="33"/>
  <c r="U179" i="33"/>
  <c r="BA177" i="33"/>
  <c r="W174" i="33"/>
  <c r="BA170" i="33"/>
  <c r="AZ170" i="33"/>
  <c r="AW170" i="33"/>
  <c r="AV170" i="33"/>
  <c r="AU170" i="33"/>
  <c r="AT170" i="33"/>
  <c r="AS170" i="33"/>
  <c r="AR170" i="33"/>
  <c r="AQ170" i="33"/>
  <c r="AP170" i="33"/>
  <c r="AO170" i="33"/>
  <c r="AN170" i="33"/>
  <c r="AM170" i="33"/>
  <c r="AL170" i="33"/>
  <c r="AY170" i="33" s="1"/>
  <c r="W170" i="33"/>
  <c r="V170" i="33"/>
  <c r="S170" i="33"/>
  <c r="R170" i="33"/>
  <c r="Q170" i="33"/>
  <c r="P170" i="33"/>
  <c r="O170" i="33"/>
  <c r="N170" i="33"/>
  <c r="M170" i="33"/>
  <c r="L170" i="33"/>
  <c r="K170" i="33"/>
  <c r="J170" i="33"/>
  <c r="I170" i="33"/>
  <c r="H170" i="33"/>
  <c r="U170" i="33" s="1"/>
  <c r="AY169" i="33"/>
  <c r="U169" i="33"/>
  <c r="AY168" i="33"/>
  <c r="AY167" i="33"/>
  <c r="BA165" i="33"/>
  <c r="AZ165" i="33"/>
  <c r="AW165" i="33"/>
  <c r="AV165" i="33"/>
  <c r="AU165" i="33"/>
  <c r="AT165" i="33"/>
  <c r="AS165" i="33"/>
  <c r="AR165" i="33"/>
  <c r="AQ165" i="33"/>
  <c r="AP165" i="33"/>
  <c r="AO165" i="33"/>
  <c r="AN165" i="33"/>
  <c r="AM165" i="33"/>
  <c r="AL165" i="33"/>
  <c r="AY165" i="33" s="1"/>
  <c r="W165" i="33"/>
  <c r="V165" i="33"/>
  <c r="S165" i="33"/>
  <c r="R165" i="33"/>
  <c r="Q165" i="33"/>
  <c r="P165" i="33"/>
  <c r="O165" i="33"/>
  <c r="N165" i="33"/>
  <c r="M165" i="33"/>
  <c r="L165" i="33"/>
  <c r="K165" i="33"/>
  <c r="J165" i="33"/>
  <c r="I165" i="33"/>
  <c r="H165" i="33"/>
  <c r="U165" i="33" s="1"/>
  <c r="AY164" i="33"/>
  <c r="U164" i="33"/>
  <c r="BA162" i="33"/>
  <c r="BA171" i="33" s="1"/>
  <c r="AZ162" i="33"/>
  <c r="AZ171" i="33" s="1"/>
  <c r="AW162" i="33"/>
  <c r="AW171" i="33" s="1"/>
  <c r="AV162" i="33"/>
  <c r="AV171" i="33" s="1"/>
  <c r="AU162" i="33"/>
  <c r="AU171" i="33" s="1"/>
  <c r="AT162" i="33"/>
  <c r="AT171" i="33" s="1"/>
  <c r="AS162" i="33"/>
  <c r="AS171" i="33" s="1"/>
  <c r="AR162" i="33"/>
  <c r="AR171" i="33" s="1"/>
  <c r="AQ162" i="33"/>
  <c r="AQ171" i="33" s="1"/>
  <c r="AP162" i="33"/>
  <c r="AP171" i="33" s="1"/>
  <c r="AO162" i="33"/>
  <c r="AO171" i="33" s="1"/>
  <c r="AN162" i="33"/>
  <c r="AN171" i="33" s="1"/>
  <c r="AM162" i="33"/>
  <c r="AM171" i="33" s="1"/>
  <c r="AL162" i="33"/>
  <c r="AL171" i="33" s="1"/>
  <c r="W162" i="33"/>
  <c r="W171" i="33" s="1"/>
  <c r="V162" i="33"/>
  <c r="V171" i="33" s="1"/>
  <c r="S162" i="33"/>
  <c r="S171" i="33" s="1"/>
  <c r="R162" i="33"/>
  <c r="R171" i="33" s="1"/>
  <c r="Q162" i="33"/>
  <c r="Q171" i="33" s="1"/>
  <c r="P162" i="33"/>
  <c r="P171" i="33" s="1"/>
  <c r="O162" i="33"/>
  <c r="O171" i="33" s="1"/>
  <c r="N162" i="33"/>
  <c r="N171" i="33" s="1"/>
  <c r="M162" i="33"/>
  <c r="M171" i="33" s="1"/>
  <c r="L162" i="33"/>
  <c r="L171" i="33" s="1"/>
  <c r="K162" i="33"/>
  <c r="K171" i="33" s="1"/>
  <c r="J162" i="33"/>
  <c r="J171" i="33" s="1"/>
  <c r="I162" i="33"/>
  <c r="I171" i="33" s="1"/>
  <c r="H162" i="33"/>
  <c r="H171" i="33" s="1"/>
  <c r="AY161" i="33"/>
  <c r="AY160" i="33"/>
  <c r="AY159" i="33"/>
  <c r="U159" i="33"/>
  <c r="AY158" i="33"/>
  <c r="BA155" i="33"/>
  <c r="AU155" i="33"/>
  <c r="AT155" i="33"/>
  <c r="AO155" i="33"/>
  <c r="AN155" i="33"/>
  <c r="S155" i="33"/>
  <c r="N155" i="33"/>
  <c r="M155" i="33"/>
  <c r="H155" i="33"/>
  <c r="AY154" i="33"/>
  <c r="U154" i="33"/>
  <c r="BA153" i="33"/>
  <c r="AZ153" i="33"/>
  <c r="AZ155" i="33" s="1"/>
  <c r="AW153" i="33"/>
  <c r="AW155" i="33" s="1"/>
  <c r="AV153" i="33"/>
  <c r="AV155" i="33" s="1"/>
  <c r="AU153" i="33"/>
  <c r="AT153" i="33"/>
  <c r="AS153" i="33"/>
  <c r="AS155" i="33" s="1"/>
  <c r="AR153" i="33"/>
  <c r="AR155" i="33" s="1"/>
  <c r="AQ153" i="33"/>
  <c r="AQ155" i="33" s="1"/>
  <c r="AP153" i="33"/>
  <c r="AP155" i="33" s="1"/>
  <c r="AO153" i="33"/>
  <c r="AN153" i="33"/>
  <c r="AM153" i="33"/>
  <c r="AM155" i="33" s="1"/>
  <c r="AL153" i="33"/>
  <c r="AY153" i="33" s="1"/>
  <c r="W153" i="33"/>
  <c r="W155" i="33" s="1"/>
  <c r="V153" i="33"/>
  <c r="V155" i="33" s="1"/>
  <c r="S153" i="33"/>
  <c r="R153" i="33"/>
  <c r="R155" i="33" s="1"/>
  <c r="Q153" i="33"/>
  <c r="Q155" i="33" s="1"/>
  <c r="P153" i="33"/>
  <c r="P155" i="33" s="1"/>
  <c r="O153" i="33"/>
  <c r="O155" i="33" s="1"/>
  <c r="N153" i="33"/>
  <c r="M153" i="33"/>
  <c r="L153" i="33"/>
  <c r="L155" i="33" s="1"/>
  <c r="K153" i="33"/>
  <c r="K155" i="33" s="1"/>
  <c r="J153" i="33"/>
  <c r="J155" i="33" s="1"/>
  <c r="I153" i="33"/>
  <c r="I155" i="33" s="1"/>
  <c r="H153" i="33"/>
  <c r="U153" i="33" s="1"/>
  <c r="AY152" i="33"/>
  <c r="U152" i="33"/>
  <c r="BA148" i="33"/>
  <c r="AZ148" i="33"/>
  <c r="AW148" i="33"/>
  <c r="AV148" i="33"/>
  <c r="AU148" i="33"/>
  <c r="AT148" i="33"/>
  <c r="AS148" i="33"/>
  <c r="AR148" i="33"/>
  <c r="AR149" i="33" s="1"/>
  <c r="AQ148" i="33"/>
  <c r="AP148" i="33"/>
  <c r="AO148" i="33"/>
  <c r="AN148" i="33"/>
  <c r="AM148" i="33"/>
  <c r="AL148" i="33"/>
  <c r="AY148" i="33" s="1"/>
  <c r="W148" i="33"/>
  <c r="V148" i="33"/>
  <c r="S148" i="33"/>
  <c r="R148" i="33"/>
  <c r="Q148" i="33"/>
  <c r="Q149" i="33" s="1"/>
  <c r="P148" i="33"/>
  <c r="O148" i="33"/>
  <c r="N148" i="33"/>
  <c r="M148" i="33"/>
  <c r="L148" i="33"/>
  <c r="K148" i="33"/>
  <c r="K149" i="33" s="1"/>
  <c r="J148" i="33"/>
  <c r="I148" i="33"/>
  <c r="H148" i="33"/>
  <c r="U148" i="33" s="1"/>
  <c r="AY147" i="33"/>
  <c r="U147" i="33"/>
  <c r="AY146" i="33"/>
  <c r="U146" i="33"/>
  <c r="AY145" i="33"/>
  <c r="U145" i="33"/>
  <c r="AY144" i="33"/>
  <c r="U144" i="33"/>
  <c r="AY143" i="33"/>
  <c r="AY142" i="33"/>
  <c r="U142" i="33"/>
  <c r="AY141" i="33"/>
  <c r="U141" i="33"/>
  <c r="AY140" i="33"/>
  <c r="U140" i="33"/>
  <c r="AY139" i="33"/>
  <c r="U139" i="33"/>
  <c r="AY138" i="33"/>
  <c r="U138" i="33"/>
  <c r="AY137" i="33"/>
  <c r="U137" i="33"/>
  <c r="L137" i="33"/>
  <c r="BA124" i="33"/>
  <c r="AZ124" i="33"/>
  <c r="AW124" i="33"/>
  <c r="AV124" i="33"/>
  <c r="AU124" i="33"/>
  <c r="AT124" i="33"/>
  <c r="AS124" i="33"/>
  <c r="AR124" i="33"/>
  <c r="AQ124" i="33"/>
  <c r="AP124" i="33"/>
  <c r="AO124" i="33"/>
  <c r="AN124" i="33"/>
  <c r="AM124" i="33"/>
  <c r="AL124" i="33"/>
  <c r="AY124" i="33" s="1"/>
  <c r="W124" i="33"/>
  <c r="V124" i="33"/>
  <c r="R124" i="33"/>
  <c r="Q124" i="33"/>
  <c r="P124" i="33"/>
  <c r="O124" i="33"/>
  <c r="N124" i="33"/>
  <c r="M124" i="33"/>
  <c r="L124" i="33"/>
  <c r="K124" i="33"/>
  <c r="J124" i="33"/>
  <c r="I124" i="33"/>
  <c r="H124" i="33"/>
  <c r="U124" i="33" s="1"/>
  <c r="AY123" i="33"/>
  <c r="U123" i="33"/>
  <c r="AY122" i="33"/>
  <c r="U122" i="33"/>
  <c r="AY121" i="33"/>
  <c r="U121" i="33"/>
  <c r="AY120" i="33"/>
  <c r="U120" i="33"/>
  <c r="AY119" i="33"/>
  <c r="U119" i="33"/>
  <c r="AY118" i="33"/>
  <c r="U118" i="33"/>
  <c r="AY117" i="33"/>
  <c r="U117" i="33"/>
  <c r="AY116" i="33"/>
  <c r="AY115" i="33"/>
  <c r="U115" i="33"/>
  <c r="AY114" i="33"/>
  <c r="U114" i="33"/>
  <c r="AY113" i="33"/>
  <c r="U113" i="33"/>
  <c r="AY112" i="33"/>
  <c r="U112" i="33"/>
  <c r="AY111" i="33"/>
  <c r="AY110" i="33"/>
  <c r="U110" i="33"/>
  <c r="S110" i="33"/>
  <c r="S124" i="33" s="1"/>
  <c r="AY109" i="33"/>
  <c r="U109" i="33"/>
  <c r="AY108" i="33"/>
  <c r="U108" i="33"/>
  <c r="AY107" i="33"/>
  <c r="U107" i="33"/>
  <c r="AY106" i="33"/>
  <c r="U106" i="33"/>
  <c r="AY105" i="33"/>
  <c r="U105" i="33"/>
  <c r="AY104" i="33"/>
  <c r="U104" i="33"/>
  <c r="AY103" i="33"/>
  <c r="U103" i="33"/>
  <c r="AY102" i="33"/>
  <c r="U102" i="33"/>
  <c r="AY101" i="33"/>
  <c r="U101" i="33"/>
  <c r="AY100" i="33"/>
  <c r="U100" i="33"/>
  <c r="AY99" i="33"/>
  <c r="U99" i="33"/>
  <c r="AY98" i="33"/>
  <c r="U98" i="33"/>
  <c r="AY97" i="33"/>
  <c r="U97" i="33"/>
  <c r="AY96" i="33"/>
  <c r="U96" i="33"/>
  <c r="AY95" i="33"/>
  <c r="U95" i="33"/>
  <c r="AY94" i="33"/>
  <c r="U94" i="33"/>
  <c r="AY93" i="33"/>
  <c r="U93" i="33"/>
  <c r="BA76" i="33"/>
  <c r="BA149" i="33" s="1"/>
  <c r="AZ76" i="33"/>
  <c r="AZ149" i="33" s="1"/>
  <c r="AW76" i="33"/>
  <c r="AW149" i="33" s="1"/>
  <c r="AV76" i="33"/>
  <c r="AV149" i="33" s="1"/>
  <c r="AU76" i="33"/>
  <c r="AU149" i="33" s="1"/>
  <c r="AT76" i="33"/>
  <c r="AT149" i="33" s="1"/>
  <c r="AS76" i="33"/>
  <c r="AS149" i="33" s="1"/>
  <c r="AR76" i="33"/>
  <c r="AQ76" i="33"/>
  <c r="AQ149" i="33" s="1"/>
  <c r="AP76" i="33"/>
  <c r="AP149" i="33" s="1"/>
  <c r="AO76" i="33"/>
  <c r="AO149" i="33" s="1"/>
  <c r="AN76" i="33"/>
  <c r="AN149" i="33" s="1"/>
  <c r="AM76" i="33"/>
  <c r="AM149" i="33" s="1"/>
  <c r="AL76" i="33"/>
  <c r="AY76" i="33" s="1"/>
  <c r="W76" i="33"/>
  <c r="W149" i="33" s="1"/>
  <c r="V76" i="33"/>
  <c r="V149" i="33" s="1"/>
  <c r="S76" i="33"/>
  <c r="S149" i="33" s="1"/>
  <c r="R76" i="33"/>
  <c r="R149" i="33" s="1"/>
  <c r="Q76" i="33"/>
  <c r="P76" i="33"/>
  <c r="P149" i="33" s="1"/>
  <c r="O76" i="33"/>
  <c r="O149" i="33" s="1"/>
  <c r="N76" i="33"/>
  <c r="N149" i="33" s="1"/>
  <c r="M76" i="33"/>
  <c r="M149" i="33" s="1"/>
  <c r="L76" i="33"/>
  <c r="L149" i="33" s="1"/>
  <c r="K76" i="33"/>
  <c r="J76" i="33"/>
  <c r="J149" i="33" s="1"/>
  <c r="I76" i="33"/>
  <c r="I149" i="33" s="1"/>
  <c r="H76" i="33"/>
  <c r="U76" i="33" s="1"/>
  <c r="AY75" i="33"/>
  <c r="U75" i="33"/>
  <c r="AY74" i="33"/>
  <c r="U74" i="33"/>
  <c r="BA70" i="33"/>
  <c r="AZ70" i="33"/>
  <c r="AW70" i="33"/>
  <c r="AV70" i="33"/>
  <c r="AU70" i="33"/>
  <c r="AU71" i="33" s="1"/>
  <c r="AT70" i="33"/>
  <c r="AS70" i="33"/>
  <c r="AR70" i="33"/>
  <c r="AQ70" i="33"/>
  <c r="AP70" i="33"/>
  <c r="AO70" i="33"/>
  <c r="AO71" i="33" s="1"/>
  <c r="AN70" i="33"/>
  <c r="AM70" i="33"/>
  <c r="AL70" i="33"/>
  <c r="AY70" i="33" s="1"/>
  <c r="W70" i="33"/>
  <c r="V70" i="33"/>
  <c r="S70" i="33"/>
  <c r="R70" i="33"/>
  <c r="Q70" i="33"/>
  <c r="P70" i="33"/>
  <c r="O70" i="33"/>
  <c r="N70" i="33"/>
  <c r="M70" i="33"/>
  <c r="L70" i="33"/>
  <c r="K70" i="33"/>
  <c r="J70" i="33"/>
  <c r="I70" i="33"/>
  <c r="H70" i="33"/>
  <c r="U70" i="33" s="1"/>
  <c r="AY69" i="33"/>
  <c r="U69" i="33"/>
  <c r="AY68" i="33"/>
  <c r="AY67" i="33"/>
  <c r="U67" i="33"/>
  <c r="BA65" i="33"/>
  <c r="AZ65" i="33"/>
  <c r="AW65" i="33"/>
  <c r="AV65" i="33"/>
  <c r="AU65" i="33"/>
  <c r="AT65" i="33"/>
  <c r="AS65" i="33"/>
  <c r="AR65" i="33"/>
  <c r="AQ65" i="33"/>
  <c r="AP65" i="33"/>
  <c r="AO65" i="33"/>
  <c r="AN65" i="33"/>
  <c r="AM65" i="33"/>
  <c r="AL65" i="33"/>
  <c r="AY65" i="33" s="1"/>
  <c r="W65" i="33"/>
  <c r="V65" i="33"/>
  <c r="S65" i="33"/>
  <c r="R65" i="33"/>
  <c r="Q65" i="33"/>
  <c r="P65" i="33"/>
  <c r="O65" i="33"/>
  <c r="N65" i="33"/>
  <c r="M65" i="33"/>
  <c r="L65" i="33"/>
  <c r="K65" i="33"/>
  <c r="J65" i="33"/>
  <c r="I65" i="33"/>
  <c r="H65" i="33"/>
  <c r="U65" i="33" s="1"/>
  <c r="AY64" i="33"/>
  <c r="U64" i="33"/>
  <c r="AY63" i="33"/>
  <c r="U63" i="33"/>
  <c r="AY62" i="33"/>
  <c r="U62" i="33"/>
  <c r="AZ60" i="33"/>
  <c r="AW60" i="33"/>
  <c r="AV60" i="33"/>
  <c r="AU60" i="33"/>
  <c r="AT60" i="33"/>
  <c r="AS60" i="33"/>
  <c r="AR60" i="33"/>
  <c r="AQ60" i="33"/>
  <c r="AP60" i="33"/>
  <c r="AO60" i="33"/>
  <c r="AN60" i="33"/>
  <c r="AM60" i="33"/>
  <c r="AL60" i="33"/>
  <c r="AY60" i="33" s="1"/>
  <c r="W60" i="33"/>
  <c r="V60" i="33"/>
  <c r="S60" i="33"/>
  <c r="R60" i="33"/>
  <c r="Q60" i="33"/>
  <c r="P60" i="33"/>
  <c r="O60" i="33"/>
  <c r="N60" i="33"/>
  <c r="M60" i="33"/>
  <c r="L60" i="33"/>
  <c r="K60" i="33"/>
  <c r="J60" i="33"/>
  <c r="I60" i="33"/>
  <c r="H60" i="33"/>
  <c r="U60" i="33" s="1"/>
  <c r="BA59" i="33"/>
  <c r="BA60" i="33" s="1"/>
  <c r="AY59" i="33"/>
  <c r="U59" i="33"/>
  <c r="BA58" i="33"/>
  <c r="AY58" i="33"/>
  <c r="U58" i="33"/>
  <c r="BA56" i="33"/>
  <c r="AZ56" i="33"/>
  <c r="AW56" i="33"/>
  <c r="AV56" i="33"/>
  <c r="AU56" i="33"/>
  <c r="AT56" i="33"/>
  <c r="AS56" i="33"/>
  <c r="AR56" i="33"/>
  <c r="AQ56" i="33"/>
  <c r="AP56" i="33"/>
  <c r="AO56" i="33"/>
  <c r="AN56" i="33"/>
  <c r="AM56" i="33"/>
  <c r="AL56" i="33"/>
  <c r="AY56" i="33" s="1"/>
  <c r="W56" i="33"/>
  <c r="V56" i="33"/>
  <c r="S56" i="33"/>
  <c r="R56" i="33"/>
  <c r="Q56" i="33"/>
  <c r="P56" i="33"/>
  <c r="O56" i="33"/>
  <c r="N56" i="33"/>
  <c r="M56" i="33"/>
  <c r="L56" i="33"/>
  <c r="K56" i="33"/>
  <c r="J56" i="33"/>
  <c r="I56" i="33"/>
  <c r="H56" i="33"/>
  <c r="U56" i="33" s="1"/>
  <c r="AY55" i="33"/>
  <c r="U55" i="33"/>
  <c r="AY54" i="33"/>
  <c r="U54" i="33"/>
  <c r="W52" i="33"/>
  <c r="V52" i="33"/>
  <c r="S52" i="33"/>
  <c r="R52" i="33"/>
  <c r="Q52" i="33"/>
  <c r="P52" i="33"/>
  <c r="O52" i="33"/>
  <c r="N52" i="33"/>
  <c r="N71" i="33" s="1"/>
  <c r="N175" i="33" s="1"/>
  <c r="M52" i="33"/>
  <c r="L52" i="33"/>
  <c r="K52" i="33"/>
  <c r="J52" i="33"/>
  <c r="I52" i="33"/>
  <c r="H52" i="33"/>
  <c r="H71" i="33" s="1"/>
  <c r="U51" i="33"/>
  <c r="BA50" i="33"/>
  <c r="AZ50" i="33"/>
  <c r="AZ71" i="33" s="1"/>
  <c r="AZ179" i="33" s="1"/>
  <c r="AW50" i="33"/>
  <c r="AW71" i="33" s="1"/>
  <c r="AV50" i="33"/>
  <c r="AV71" i="33" s="1"/>
  <c r="AU50" i="33"/>
  <c r="AT50" i="33"/>
  <c r="AT71" i="33" s="1"/>
  <c r="AT179" i="33" s="1"/>
  <c r="AS50" i="33"/>
  <c r="AS71" i="33" s="1"/>
  <c r="AR50" i="33"/>
  <c r="AR71" i="33" s="1"/>
  <c r="AR179" i="33" s="1"/>
  <c r="AQ50" i="33"/>
  <c r="AQ71" i="33" s="1"/>
  <c r="AP50" i="33"/>
  <c r="AP71" i="33" s="1"/>
  <c r="AO50" i="33"/>
  <c r="AN50" i="33"/>
  <c r="AN71" i="33" s="1"/>
  <c r="AN179" i="33" s="1"/>
  <c r="AM50" i="33"/>
  <c r="AM71" i="33" s="1"/>
  <c r="AL50" i="33"/>
  <c r="AY50" i="33" s="1"/>
  <c r="AY47" i="33"/>
  <c r="W47" i="33"/>
  <c r="W71" i="33" s="1"/>
  <c r="V47" i="33"/>
  <c r="V71" i="33" s="1"/>
  <c r="V175" i="33" s="1"/>
  <c r="S47" i="33"/>
  <c r="S71" i="33" s="1"/>
  <c r="S175" i="33" s="1"/>
  <c r="R47" i="33"/>
  <c r="R71" i="33" s="1"/>
  <c r="R175" i="33" s="1"/>
  <c r="Q47" i="33"/>
  <c r="Q71" i="33" s="1"/>
  <c r="P47" i="33"/>
  <c r="P71" i="33" s="1"/>
  <c r="O47" i="33"/>
  <c r="O71" i="33" s="1"/>
  <c r="O175" i="33" s="1"/>
  <c r="N47" i="33"/>
  <c r="M47" i="33"/>
  <c r="M71" i="33" s="1"/>
  <c r="M175" i="33" s="1"/>
  <c r="L47" i="33"/>
  <c r="L71" i="33" s="1"/>
  <c r="L175" i="33" s="1"/>
  <c r="K47" i="33"/>
  <c r="K71" i="33" s="1"/>
  <c r="J47" i="33"/>
  <c r="J71" i="33" s="1"/>
  <c r="I47" i="33"/>
  <c r="I71" i="33" s="1"/>
  <c r="I175" i="33" s="1"/>
  <c r="H47" i="33"/>
  <c r="U47" i="33" s="1"/>
  <c r="AY46" i="33"/>
  <c r="U46" i="33"/>
  <c r="AY45" i="33"/>
  <c r="U45" i="33"/>
  <c r="AY44" i="33"/>
  <c r="U44" i="33"/>
  <c r="AY43" i="33"/>
  <c r="U43" i="33"/>
  <c r="BA38" i="33"/>
  <c r="AZ38" i="33"/>
  <c r="AW38" i="33"/>
  <c r="AV38" i="33"/>
  <c r="AU38" i="33"/>
  <c r="AT38" i="33"/>
  <c r="AS38" i="33"/>
  <c r="AR38" i="33"/>
  <c r="AQ38" i="33"/>
  <c r="AP38" i="33"/>
  <c r="AO38" i="33"/>
  <c r="AN38" i="33"/>
  <c r="AM38" i="33"/>
  <c r="AL38" i="33"/>
  <c r="AY38" i="33" s="1"/>
  <c r="W38" i="33"/>
  <c r="V38" i="33"/>
  <c r="S38" i="33"/>
  <c r="R38" i="33"/>
  <c r="Q38" i="33"/>
  <c r="P38" i="33"/>
  <c r="O38" i="33"/>
  <c r="N38" i="33"/>
  <c r="M38" i="33"/>
  <c r="L38" i="33"/>
  <c r="K38" i="33"/>
  <c r="J38" i="33"/>
  <c r="I38" i="33"/>
  <c r="H38" i="33"/>
  <c r="U38" i="33" s="1"/>
  <c r="AY37" i="33"/>
  <c r="U37" i="33"/>
  <c r="BA34" i="33"/>
  <c r="AZ34" i="33"/>
  <c r="AW34" i="33"/>
  <c r="AV34" i="33"/>
  <c r="AU34" i="33"/>
  <c r="AU35" i="33" s="1"/>
  <c r="AU39" i="33" s="1"/>
  <c r="AT34" i="33"/>
  <c r="AS34" i="33"/>
  <c r="AR34" i="33"/>
  <c r="AQ34" i="33"/>
  <c r="AP34" i="33"/>
  <c r="AO34" i="33"/>
  <c r="AO35" i="33" s="1"/>
  <c r="AO39" i="33" s="1"/>
  <c r="AN34" i="33"/>
  <c r="AM34" i="33"/>
  <c r="AL34" i="33"/>
  <c r="AY34" i="33" s="1"/>
  <c r="V34" i="33"/>
  <c r="R34" i="33"/>
  <c r="Q34" i="33"/>
  <c r="P34" i="33"/>
  <c r="O34" i="33"/>
  <c r="N34" i="33"/>
  <c r="N35" i="33" s="1"/>
  <c r="N39" i="33" s="1"/>
  <c r="M34" i="33"/>
  <c r="L34" i="33"/>
  <c r="K34" i="33"/>
  <c r="J34" i="33"/>
  <c r="I34" i="33"/>
  <c r="H34" i="33"/>
  <c r="H35" i="33" s="1"/>
  <c r="AY33" i="33"/>
  <c r="U33" i="33"/>
  <c r="AY32" i="33"/>
  <c r="U32" i="33"/>
  <c r="AY31" i="33"/>
  <c r="U31" i="33"/>
  <c r="AY30" i="33"/>
  <c r="U30" i="33"/>
  <c r="AY29" i="33"/>
  <c r="U29" i="33"/>
  <c r="AY28" i="33"/>
  <c r="W28" i="33"/>
  <c r="S28" i="33"/>
  <c r="U28" i="33" s="1"/>
  <c r="AY27" i="33"/>
  <c r="W27" i="33"/>
  <c r="S27" i="33"/>
  <c r="U27" i="33" s="1"/>
  <c r="AY26" i="33"/>
  <c r="U26" i="33"/>
  <c r="AY25" i="33"/>
  <c r="U25" i="33"/>
  <c r="AY24" i="33"/>
  <c r="W24" i="33"/>
  <c r="W34" i="33" s="1"/>
  <c r="S24" i="33"/>
  <c r="S34" i="33" s="1"/>
  <c r="BA22" i="33"/>
  <c r="AZ22" i="33"/>
  <c r="AW22" i="33"/>
  <c r="AV22" i="33"/>
  <c r="AU22" i="33"/>
  <c r="AT22" i="33"/>
  <c r="AS22" i="33"/>
  <c r="AR22" i="33"/>
  <c r="AQ22" i="33"/>
  <c r="AP22" i="33"/>
  <c r="AO22" i="33"/>
  <c r="AN22" i="33"/>
  <c r="AM22" i="33"/>
  <c r="AL22" i="33"/>
  <c r="AY22" i="33" s="1"/>
  <c r="W22" i="33"/>
  <c r="V22" i="33"/>
  <c r="S22" i="33"/>
  <c r="R22" i="33"/>
  <c r="Q22" i="33"/>
  <c r="P22" i="33"/>
  <c r="O22" i="33"/>
  <c r="N22" i="33"/>
  <c r="M22" i="33"/>
  <c r="L22" i="33"/>
  <c r="K22" i="33"/>
  <c r="J22" i="33"/>
  <c r="I22" i="33"/>
  <c r="H22" i="33"/>
  <c r="U22" i="33" s="1"/>
  <c r="AY21" i="33"/>
  <c r="U21" i="33"/>
  <c r="AY20" i="33"/>
  <c r="U20" i="33"/>
  <c r="AY19" i="33"/>
  <c r="U19" i="33"/>
  <c r="AY18" i="33"/>
  <c r="W18" i="33"/>
  <c r="U18" i="33"/>
  <c r="AY17" i="33"/>
  <c r="U17" i="33"/>
  <c r="BA15" i="33"/>
  <c r="BA35" i="33" s="1"/>
  <c r="BA39" i="33" s="1"/>
  <c r="AZ15" i="33"/>
  <c r="AZ35" i="33" s="1"/>
  <c r="AZ39" i="33" s="1"/>
  <c r="AW15" i="33"/>
  <c r="AW35" i="33" s="1"/>
  <c r="AW39" i="33" s="1"/>
  <c r="AV15" i="33"/>
  <c r="AV35" i="33" s="1"/>
  <c r="AV39" i="33" s="1"/>
  <c r="AU15" i="33"/>
  <c r="AT15" i="33"/>
  <c r="AT35" i="33" s="1"/>
  <c r="AT39" i="33" s="1"/>
  <c r="AS15" i="33"/>
  <c r="AS35" i="33" s="1"/>
  <c r="AS39" i="33" s="1"/>
  <c r="AR15" i="33"/>
  <c r="AR35" i="33" s="1"/>
  <c r="AR39" i="33" s="1"/>
  <c r="AQ15" i="33"/>
  <c r="AQ35" i="33" s="1"/>
  <c r="AQ39" i="33" s="1"/>
  <c r="AP15" i="33"/>
  <c r="AP35" i="33" s="1"/>
  <c r="AP39" i="33" s="1"/>
  <c r="AO15" i="33"/>
  <c r="AN15" i="33"/>
  <c r="AN35" i="33" s="1"/>
  <c r="AN39" i="33" s="1"/>
  <c r="AM15" i="33"/>
  <c r="AM35" i="33" s="1"/>
  <c r="AM39" i="33" s="1"/>
  <c r="AL15" i="33"/>
  <c r="AY15" i="33" s="1"/>
  <c r="V15" i="33"/>
  <c r="V35" i="33" s="1"/>
  <c r="V39" i="33" s="1"/>
  <c r="V176" i="33" s="1"/>
  <c r="S15" i="33"/>
  <c r="R15" i="33"/>
  <c r="R35" i="33" s="1"/>
  <c r="R39" i="33" s="1"/>
  <c r="Q15" i="33"/>
  <c r="Q35" i="33" s="1"/>
  <c r="Q39" i="33" s="1"/>
  <c r="P15" i="33"/>
  <c r="P35" i="33" s="1"/>
  <c r="P39" i="33" s="1"/>
  <c r="O15" i="33"/>
  <c r="O35" i="33" s="1"/>
  <c r="O39" i="33" s="1"/>
  <c r="O176" i="33" s="1"/>
  <c r="N15" i="33"/>
  <c r="M15" i="33"/>
  <c r="M35" i="33" s="1"/>
  <c r="M39" i="33" s="1"/>
  <c r="L15" i="33"/>
  <c r="L35" i="33" s="1"/>
  <c r="L39" i="33" s="1"/>
  <c r="K15" i="33"/>
  <c r="K35" i="33" s="1"/>
  <c r="K39" i="33" s="1"/>
  <c r="J15" i="33"/>
  <c r="J35" i="33" s="1"/>
  <c r="J39" i="33" s="1"/>
  <c r="I15" i="33"/>
  <c r="I35" i="33" s="1"/>
  <c r="I39" i="33" s="1"/>
  <c r="I176" i="33" s="1"/>
  <c r="H15" i="33"/>
  <c r="U15" i="33" s="1"/>
  <c r="AY14" i="33"/>
  <c r="U14" i="33"/>
  <c r="AY13" i="33"/>
  <c r="U13" i="33"/>
  <c r="AY12" i="33"/>
  <c r="U12" i="33"/>
  <c r="AY11" i="33"/>
  <c r="U11" i="33"/>
  <c r="AY10" i="33"/>
  <c r="U10" i="33"/>
  <c r="AY9" i="33"/>
  <c r="U9" i="33"/>
  <c r="AY8" i="33"/>
  <c r="U8" i="33"/>
  <c r="U7" i="33"/>
  <c r="AY6" i="33"/>
  <c r="U6" i="33"/>
  <c r="AY5" i="33"/>
  <c r="W5" i="33"/>
  <c r="W15" i="33" s="1"/>
  <c r="U5" i="33"/>
  <c r="AU186" i="32"/>
  <c r="AO186" i="32"/>
  <c r="BA185" i="32"/>
  <c r="BA186" i="32" s="1"/>
  <c r="AZ185" i="32"/>
  <c r="AZ186" i="32" s="1"/>
  <c r="AW185" i="32"/>
  <c r="AW186" i="32" s="1"/>
  <c r="AV185" i="32"/>
  <c r="AV186" i="32" s="1"/>
  <c r="AU185" i="32"/>
  <c r="AT185" i="32"/>
  <c r="AT186" i="32" s="1"/>
  <c r="AS185" i="32"/>
  <c r="AS186" i="32" s="1"/>
  <c r="AR185" i="32"/>
  <c r="AR186" i="32" s="1"/>
  <c r="AQ185" i="32"/>
  <c r="AQ186" i="32" s="1"/>
  <c r="AP185" i="32"/>
  <c r="AP186" i="32" s="1"/>
  <c r="AO185" i="32"/>
  <c r="AN185" i="32"/>
  <c r="AN186" i="32" s="1"/>
  <c r="AM185" i="32"/>
  <c r="AM186" i="32" s="1"/>
  <c r="AL185" i="32"/>
  <c r="AY185" i="32" s="1"/>
  <c r="AY184" i="32"/>
  <c r="AY183" i="32"/>
  <c r="W183" i="32"/>
  <c r="P183" i="32"/>
  <c r="J183" i="32"/>
  <c r="W182" i="32"/>
  <c r="V182" i="32"/>
  <c r="V183" i="32" s="1"/>
  <c r="S182" i="32"/>
  <c r="S183" i="32" s="1"/>
  <c r="R182" i="32"/>
  <c r="R183" i="32" s="1"/>
  <c r="Q182" i="32"/>
  <c r="Q183" i="32" s="1"/>
  <c r="P182" i="32"/>
  <c r="O182" i="32"/>
  <c r="O183" i="32" s="1"/>
  <c r="N182" i="32"/>
  <c r="N183" i="32" s="1"/>
  <c r="M182" i="32"/>
  <c r="M183" i="32" s="1"/>
  <c r="L182" i="32"/>
  <c r="L183" i="32" s="1"/>
  <c r="K182" i="32"/>
  <c r="K183" i="32" s="1"/>
  <c r="J182" i="32"/>
  <c r="I182" i="32"/>
  <c r="I183" i="32" s="1"/>
  <c r="H182" i="32"/>
  <c r="U182" i="32" s="1"/>
  <c r="U181" i="32"/>
  <c r="U180" i="32"/>
  <c r="AX179" i="32"/>
  <c r="U179" i="32"/>
  <c r="BA177" i="32"/>
  <c r="W174" i="32"/>
  <c r="BA170" i="32"/>
  <c r="AZ170" i="32"/>
  <c r="AW170" i="32"/>
  <c r="AV170" i="32"/>
  <c r="AU170" i="32"/>
  <c r="AT170" i="32"/>
  <c r="AS170" i="32"/>
  <c r="AR170" i="32"/>
  <c r="AQ170" i="32"/>
  <c r="AP170" i="32"/>
  <c r="AO170" i="32"/>
  <c r="AN170" i="32"/>
  <c r="AM170" i="32"/>
  <c r="AL170" i="32"/>
  <c r="AY170" i="32" s="1"/>
  <c r="W170" i="32"/>
  <c r="V170" i="32"/>
  <c r="S170" i="32"/>
  <c r="R170" i="32"/>
  <c r="Q170" i="32"/>
  <c r="P170" i="32"/>
  <c r="O170" i="32"/>
  <c r="N170" i="32"/>
  <c r="M170" i="32"/>
  <c r="L170" i="32"/>
  <c r="K170" i="32"/>
  <c r="J170" i="32"/>
  <c r="I170" i="32"/>
  <c r="H170" i="32"/>
  <c r="U170" i="32" s="1"/>
  <c r="AY169" i="32"/>
  <c r="U169" i="32"/>
  <c r="AY168" i="32"/>
  <c r="AY167" i="32"/>
  <c r="BA165" i="32"/>
  <c r="AZ165" i="32"/>
  <c r="AW165" i="32"/>
  <c r="AV165" i="32"/>
  <c r="AU165" i="32"/>
  <c r="AT165" i="32"/>
  <c r="AS165" i="32"/>
  <c r="AR165" i="32"/>
  <c r="AQ165" i="32"/>
  <c r="AP165" i="32"/>
  <c r="AO165" i="32"/>
  <c r="AN165" i="32"/>
  <c r="AM165" i="32"/>
  <c r="AL165" i="32"/>
  <c r="AY165" i="32" s="1"/>
  <c r="W165" i="32"/>
  <c r="V165" i="32"/>
  <c r="S165" i="32"/>
  <c r="R165" i="32"/>
  <c r="Q165" i="32"/>
  <c r="P165" i="32"/>
  <c r="O165" i="32"/>
  <c r="N165" i="32"/>
  <c r="M165" i="32"/>
  <c r="L165" i="32"/>
  <c r="K165" i="32"/>
  <c r="J165" i="32"/>
  <c r="I165" i="32"/>
  <c r="H165" i="32"/>
  <c r="U165" i="32" s="1"/>
  <c r="AY164" i="32"/>
  <c r="U164" i="32"/>
  <c r="BA162" i="32"/>
  <c r="BA171" i="32" s="1"/>
  <c r="AZ162" i="32"/>
  <c r="AZ171" i="32" s="1"/>
  <c r="AW162" i="32"/>
  <c r="AW171" i="32" s="1"/>
  <c r="AV162" i="32"/>
  <c r="AV171" i="32" s="1"/>
  <c r="AU162" i="32"/>
  <c r="AU171" i="32" s="1"/>
  <c r="AT162" i="32"/>
  <c r="AT171" i="32" s="1"/>
  <c r="AS162" i="32"/>
  <c r="AS171" i="32" s="1"/>
  <c r="AR162" i="32"/>
  <c r="AR171" i="32" s="1"/>
  <c r="AQ162" i="32"/>
  <c r="AQ171" i="32" s="1"/>
  <c r="AP162" i="32"/>
  <c r="AP171" i="32" s="1"/>
  <c r="AO162" i="32"/>
  <c r="AO171" i="32" s="1"/>
  <c r="AN162" i="32"/>
  <c r="AN171" i="32" s="1"/>
  <c r="AM162" i="32"/>
  <c r="AM171" i="32" s="1"/>
  <c r="AL162" i="32"/>
  <c r="AL171" i="32" s="1"/>
  <c r="W162" i="32"/>
  <c r="W171" i="32" s="1"/>
  <c r="V162" i="32"/>
  <c r="V171" i="32" s="1"/>
  <c r="S162" i="32"/>
  <c r="S171" i="32" s="1"/>
  <c r="R162" i="32"/>
  <c r="R171" i="32" s="1"/>
  <c r="Q162" i="32"/>
  <c r="Q171" i="32" s="1"/>
  <c r="P162" i="32"/>
  <c r="P171" i="32" s="1"/>
  <c r="O162" i="32"/>
  <c r="O171" i="32" s="1"/>
  <c r="N162" i="32"/>
  <c r="N171" i="32" s="1"/>
  <c r="M162" i="32"/>
  <c r="M171" i="32" s="1"/>
  <c r="L162" i="32"/>
  <c r="L171" i="32" s="1"/>
  <c r="K162" i="32"/>
  <c r="K171" i="32" s="1"/>
  <c r="J162" i="32"/>
  <c r="J171" i="32" s="1"/>
  <c r="I162" i="32"/>
  <c r="I171" i="32" s="1"/>
  <c r="H162" i="32"/>
  <c r="H171" i="32" s="1"/>
  <c r="AY161" i="32"/>
  <c r="AY160" i="32"/>
  <c r="AY159" i="32"/>
  <c r="U159" i="32"/>
  <c r="AY158" i="32"/>
  <c r="BA155" i="32"/>
  <c r="AT155" i="32"/>
  <c r="AN155" i="32"/>
  <c r="S155" i="32"/>
  <c r="M155" i="32"/>
  <c r="AY154" i="32"/>
  <c r="U154" i="32"/>
  <c r="BA153" i="32"/>
  <c r="AZ153" i="32"/>
  <c r="AZ155" i="32" s="1"/>
  <c r="AW153" i="32"/>
  <c r="AW155" i="32" s="1"/>
  <c r="AV153" i="32"/>
  <c r="AV155" i="32" s="1"/>
  <c r="AU153" i="32"/>
  <c r="AU155" i="32" s="1"/>
  <c r="AT153" i="32"/>
  <c r="AS153" i="32"/>
  <c r="AS155" i="32" s="1"/>
  <c r="AR153" i="32"/>
  <c r="AR155" i="32" s="1"/>
  <c r="AQ153" i="32"/>
  <c r="AQ155" i="32" s="1"/>
  <c r="AP153" i="32"/>
  <c r="AP155" i="32" s="1"/>
  <c r="AO153" i="32"/>
  <c r="AO155" i="32" s="1"/>
  <c r="AN153" i="32"/>
  <c r="AM153" i="32"/>
  <c r="AM155" i="32" s="1"/>
  <c r="AL153" i="32"/>
  <c r="AY153" i="32" s="1"/>
  <c r="W153" i="32"/>
  <c r="W155" i="32" s="1"/>
  <c r="V153" i="32"/>
  <c r="V155" i="32" s="1"/>
  <c r="S153" i="32"/>
  <c r="R153" i="32"/>
  <c r="R155" i="32" s="1"/>
  <c r="Q153" i="32"/>
  <c r="Q155" i="32" s="1"/>
  <c r="P153" i="32"/>
  <c r="P155" i="32" s="1"/>
  <c r="O153" i="32"/>
  <c r="O155" i="32" s="1"/>
  <c r="N153" i="32"/>
  <c r="N155" i="32" s="1"/>
  <c r="M153" i="32"/>
  <c r="L153" i="32"/>
  <c r="L155" i="32" s="1"/>
  <c r="K153" i="32"/>
  <c r="K155" i="32" s="1"/>
  <c r="J153" i="32"/>
  <c r="J155" i="32" s="1"/>
  <c r="I153" i="32"/>
  <c r="I155" i="32" s="1"/>
  <c r="H153" i="32"/>
  <c r="H155" i="32" s="1"/>
  <c r="AY152" i="32"/>
  <c r="U152" i="32"/>
  <c r="BA148" i="32"/>
  <c r="AZ148" i="32"/>
  <c r="AW148" i="32"/>
  <c r="AV148" i="32"/>
  <c r="AU148" i="32"/>
  <c r="AT148" i="32"/>
  <c r="AS148" i="32"/>
  <c r="AR148" i="32"/>
  <c r="AR149" i="32" s="1"/>
  <c r="AQ148" i="32"/>
  <c r="AP148" i="32"/>
  <c r="AO148" i="32"/>
  <c r="AN148" i="32"/>
  <c r="AM148" i="32"/>
  <c r="AL148" i="32"/>
  <c r="AY148" i="32" s="1"/>
  <c r="W148" i="32"/>
  <c r="V148" i="32"/>
  <c r="S148" i="32"/>
  <c r="R148" i="32"/>
  <c r="Q148" i="32"/>
  <c r="Q149" i="32" s="1"/>
  <c r="P148" i="32"/>
  <c r="O148" i="32"/>
  <c r="N148" i="32"/>
  <c r="M148" i="32"/>
  <c r="K148" i="32"/>
  <c r="K149" i="32" s="1"/>
  <c r="J148" i="32"/>
  <c r="I148" i="32"/>
  <c r="H148" i="32"/>
  <c r="U148" i="32" s="1"/>
  <c r="AY147" i="32"/>
  <c r="U147" i="32"/>
  <c r="AY146" i="32"/>
  <c r="U146" i="32"/>
  <c r="AY145" i="32"/>
  <c r="U145" i="32"/>
  <c r="AY144" i="32"/>
  <c r="U144" i="32"/>
  <c r="AY143" i="32"/>
  <c r="AY142" i="32"/>
  <c r="U142" i="32"/>
  <c r="AY141" i="32"/>
  <c r="U141" i="32"/>
  <c r="AY140" i="32"/>
  <c r="U140" i="32"/>
  <c r="AY139" i="32"/>
  <c r="U139" i="32"/>
  <c r="AY138" i="32"/>
  <c r="U138" i="32"/>
  <c r="AY137" i="32"/>
  <c r="U137" i="32"/>
  <c r="L137" i="32"/>
  <c r="L148" i="32" s="1"/>
  <c r="BA124" i="32"/>
  <c r="AZ124" i="32"/>
  <c r="AW124" i="32"/>
  <c r="AV124" i="32"/>
  <c r="AU124" i="32"/>
  <c r="AT124" i="32"/>
  <c r="AS124" i="32"/>
  <c r="AR124" i="32"/>
  <c r="AQ124" i="32"/>
  <c r="AP124" i="32"/>
  <c r="AO124" i="32"/>
  <c r="AN124" i="32"/>
  <c r="AM124" i="32"/>
  <c r="AL124" i="32"/>
  <c r="AY124" i="32" s="1"/>
  <c r="W124" i="32"/>
  <c r="V124" i="32"/>
  <c r="R124" i="32"/>
  <c r="Q124" i="32"/>
  <c r="P124" i="32"/>
  <c r="O124" i="32"/>
  <c r="N124" i="32"/>
  <c r="M124" i="32"/>
  <c r="L124" i="32"/>
  <c r="K124" i="32"/>
  <c r="J124" i="32"/>
  <c r="I124" i="32"/>
  <c r="H124" i="32"/>
  <c r="U124" i="32" s="1"/>
  <c r="AY123" i="32"/>
  <c r="U123" i="32"/>
  <c r="AY122" i="32"/>
  <c r="U122" i="32"/>
  <c r="AY121" i="32"/>
  <c r="U121" i="32"/>
  <c r="AY120" i="32"/>
  <c r="U120" i="32"/>
  <c r="AY119" i="32"/>
  <c r="U119" i="32"/>
  <c r="AY118" i="32"/>
  <c r="U118" i="32"/>
  <c r="AY117" i="32"/>
  <c r="U117" i="32"/>
  <c r="AY116" i="32"/>
  <c r="AY115" i="32"/>
  <c r="U115" i="32"/>
  <c r="AY114" i="32"/>
  <c r="U114" i="32"/>
  <c r="AY113" i="32"/>
  <c r="U113" i="32"/>
  <c r="AY112" i="32"/>
  <c r="U112" i="32"/>
  <c r="AY111" i="32"/>
  <c r="AY110" i="32"/>
  <c r="U110" i="32"/>
  <c r="S110" i="32"/>
  <c r="S124" i="32" s="1"/>
  <c r="AY109" i="32"/>
  <c r="U109" i="32"/>
  <c r="AY108" i="32"/>
  <c r="U108" i="32"/>
  <c r="AY107" i="32"/>
  <c r="U107" i="32"/>
  <c r="AY106" i="32"/>
  <c r="U106" i="32"/>
  <c r="AY105" i="32"/>
  <c r="U105" i="32"/>
  <c r="AY104" i="32"/>
  <c r="U104" i="32"/>
  <c r="AY103" i="32"/>
  <c r="U103" i="32"/>
  <c r="AY102" i="32"/>
  <c r="U102" i="32"/>
  <c r="AY101" i="32"/>
  <c r="U101" i="32"/>
  <c r="AY100" i="32"/>
  <c r="U100" i="32"/>
  <c r="AY99" i="32"/>
  <c r="U99" i="32"/>
  <c r="AY98" i="32"/>
  <c r="U98" i="32"/>
  <c r="AY97" i="32"/>
  <c r="U97" i="32"/>
  <c r="AY96" i="32"/>
  <c r="U96" i="32"/>
  <c r="AY95" i="32"/>
  <c r="U95" i="32"/>
  <c r="AY94" i="32"/>
  <c r="U94" i="32"/>
  <c r="AY93" i="32"/>
  <c r="U93" i="32"/>
  <c r="BA76" i="32"/>
  <c r="BA149" i="32" s="1"/>
  <c r="AZ76" i="32"/>
  <c r="AZ149" i="32" s="1"/>
  <c r="AW76" i="32"/>
  <c r="AW149" i="32" s="1"/>
  <c r="AV76" i="32"/>
  <c r="AV149" i="32" s="1"/>
  <c r="AU76" i="32"/>
  <c r="AU149" i="32" s="1"/>
  <c r="AT76" i="32"/>
  <c r="AT149" i="32" s="1"/>
  <c r="AS76" i="32"/>
  <c r="AS149" i="32" s="1"/>
  <c r="AR76" i="32"/>
  <c r="AQ76" i="32"/>
  <c r="AQ149" i="32" s="1"/>
  <c r="AP76" i="32"/>
  <c r="AP149" i="32" s="1"/>
  <c r="AO76" i="32"/>
  <c r="AO149" i="32" s="1"/>
  <c r="AN76" i="32"/>
  <c r="AN149" i="32" s="1"/>
  <c r="AM76" i="32"/>
  <c r="AM149" i="32" s="1"/>
  <c r="AL76" i="32"/>
  <c r="AY76" i="32" s="1"/>
  <c r="W76" i="32"/>
  <c r="W149" i="32" s="1"/>
  <c r="V76" i="32"/>
  <c r="V149" i="32" s="1"/>
  <c r="S76" i="32"/>
  <c r="S149" i="32" s="1"/>
  <c r="R76" i="32"/>
  <c r="R149" i="32" s="1"/>
  <c r="Q76" i="32"/>
  <c r="P76" i="32"/>
  <c r="P149" i="32" s="1"/>
  <c r="O76" i="32"/>
  <c r="O149" i="32" s="1"/>
  <c r="N76" i="32"/>
  <c r="N149" i="32" s="1"/>
  <c r="M76" i="32"/>
  <c r="M149" i="32" s="1"/>
  <c r="L76" i="32"/>
  <c r="K76" i="32"/>
  <c r="J76" i="32"/>
  <c r="J149" i="32" s="1"/>
  <c r="I76" i="32"/>
  <c r="I149" i="32" s="1"/>
  <c r="H76" i="32"/>
  <c r="U76" i="32" s="1"/>
  <c r="AY75" i="32"/>
  <c r="U75" i="32"/>
  <c r="AY74" i="32"/>
  <c r="U74" i="32"/>
  <c r="BA70" i="32"/>
  <c r="AZ70" i="32"/>
  <c r="AW70" i="32"/>
  <c r="AV70" i="32"/>
  <c r="AU70" i="32"/>
  <c r="AU71" i="32" s="1"/>
  <c r="AT70" i="32"/>
  <c r="AS70" i="32"/>
  <c r="AR70" i="32"/>
  <c r="AQ70" i="32"/>
  <c r="AP70" i="32"/>
  <c r="AO70" i="32"/>
  <c r="AO71" i="32" s="1"/>
  <c r="AN70" i="32"/>
  <c r="AM70" i="32"/>
  <c r="AL70" i="32"/>
  <c r="AY70" i="32" s="1"/>
  <c r="W70" i="32"/>
  <c r="V70" i="32"/>
  <c r="S70" i="32"/>
  <c r="R70" i="32"/>
  <c r="Q70" i="32"/>
  <c r="P70" i="32"/>
  <c r="O70" i="32"/>
  <c r="N70" i="32"/>
  <c r="M70" i="32"/>
  <c r="L70" i="32"/>
  <c r="K70" i="32"/>
  <c r="J70" i="32"/>
  <c r="I70" i="32"/>
  <c r="H70" i="32"/>
  <c r="U70" i="32" s="1"/>
  <c r="AY69" i="32"/>
  <c r="U69" i="32"/>
  <c r="AY68" i="32"/>
  <c r="AY67" i="32"/>
  <c r="U67" i="32"/>
  <c r="BA65" i="32"/>
  <c r="AZ65" i="32"/>
  <c r="AW65" i="32"/>
  <c r="AV65" i="32"/>
  <c r="AU65" i="32"/>
  <c r="AT65" i="32"/>
  <c r="AS65" i="32"/>
  <c r="AR65" i="32"/>
  <c r="AQ65" i="32"/>
  <c r="AP65" i="32"/>
  <c r="AO65" i="32"/>
  <c r="AN65" i="32"/>
  <c r="AM65" i="32"/>
  <c r="AL65" i="32"/>
  <c r="AY65" i="32" s="1"/>
  <c r="W65" i="32"/>
  <c r="V65" i="32"/>
  <c r="S65" i="32"/>
  <c r="R65" i="32"/>
  <c r="Q65" i="32"/>
  <c r="P65" i="32"/>
  <c r="O65" i="32"/>
  <c r="N65" i="32"/>
  <c r="M65" i="32"/>
  <c r="L65" i="32"/>
  <c r="K65" i="32"/>
  <c r="J65" i="32"/>
  <c r="I65" i="32"/>
  <c r="H65" i="32"/>
  <c r="U65" i="32" s="1"/>
  <c r="AY64" i="32"/>
  <c r="U64" i="32"/>
  <c r="AY63" i="32"/>
  <c r="U63" i="32"/>
  <c r="AY62" i="32"/>
  <c r="U62" i="32"/>
  <c r="AZ60" i="32"/>
  <c r="AW60" i="32"/>
  <c r="AV60" i="32"/>
  <c r="AU60" i="32"/>
  <c r="AT60" i="32"/>
  <c r="AS60" i="32"/>
  <c r="AR60" i="32"/>
  <c r="AQ60" i="32"/>
  <c r="AP60" i="32"/>
  <c r="AO60" i="32"/>
  <c r="AN60" i="32"/>
  <c r="AM60" i="32"/>
  <c r="AL60" i="32"/>
  <c r="AY60" i="32" s="1"/>
  <c r="W60" i="32"/>
  <c r="V60" i="32"/>
  <c r="S60" i="32"/>
  <c r="R60" i="32"/>
  <c r="Q60" i="32"/>
  <c r="P60" i="32"/>
  <c r="O60" i="32"/>
  <c r="N60" i="32"/>
  <c r="M60" i="32"/>
  <c r="L60" i="32"/>
  <c r="K60" i="32"/>
  <c r="J60" i="32"/>
  <c r="I60" i="32"/>
  <c r="H60" i="32"/>
  <c r="U60" i="32" s="1"/>
  <c r="BA59" i="32"/>
  <c r="BA60" i="32" s="1"/>
  <c r="AY59" i="32"/>
  <c r="U59" i="32"/>
  <c r="BA58" i="32"/>
  <c r="AY58" i="32"/>
  <c r="U58" i="32"/>
  <c r="BA56" i="32"/>
  <c r="AZ56" i="32"/>
  <c r="AW56" i="32"/>
  <c r="AV56" i="32"/>
  <c r="AU56" i="32"/>
  <c r="AT56" i="32"/>
  <c r="AS56" i="32"/>
  <c r="AR56" i="32"/>
  <c r="AQ56" i="32"/>
  <c r="AP56" i="32"/>
  <c r="AO56" i="32"/>
  <c r="AN56" i="32"/>
  <c r="AM56" i="32"/>
  <c r="AL56" i="32"/>
  <c r="AY56" i="32" s="1"/>
  <c r="W56" i="32"/>
  <c r="V56" i="32"/>
  <c r="S56" i="32"/>
  <c r="R56" i="32"/>
  <c r="Q56" i="32"/>
  <c r="P56" i="32"/>
  <c r="O56" i="32"/>
  <c r="N56" i="32"/>
  <c r="M56" i="32"/>
  <c r="L56" i="32"/>
  <c r="K56" i="32"/>
  <c r="J56" i="32"/>
  <c r="I56" i="32"/>
  <c r="H56" i="32"/>
  <c r="U56" i="32" s="1"/>
  <c r="AY55" i="32"/>
  <c r="U55" i="32"/>
  <c r="AY54" i="32"/>
  <c r="U54" i="32"/>
  <c r="W52" i="32"/>
  <c r="V52" i="32"/>
  <c r="U52" i="32"/>
  <c r="S52" i="32"/>
  <c r="R52" i="32"/>
  <c r="Q52" i="32"/>
  <c r="P52" i="32"/>
  <c r="O52" i="32"/>
  <c r="N52" i="32"/>
  <c r="N71" i="32" s="1"/>
  <c r="N175" i="32" s="1"/>
  <c r="M52" i="32"/>
  <c r="L52" i="32"/>
  <c r="K52" i="32"/>
  <c r="J52" i="32"/>
  <c r="I52" i="32"/>
  <c r="H52" i="32"/>
  <c r="H71" i="32" s="1"/>
  <c r="U51" i="32"/>
  <c r="BA50" i="32"/>
  <c r="BA71" i="32" s="1"/>
  <c r="AZ50" i="32"/>
  <c r="AZ71" i="32" s="1"/>
  <c r="AW50" i="32"/>
  <c r="AW71" i="32" s="1"/>
  <c r="AW179" i="32" s="1"/>
  <c r="AV50" i="32"/>
  <c r="AV71" i="32" s="1"/>
  <c r="AV179" i="32" s="1"/>
  <c r="AU50" i="32"/>
  <c r="AT50" i="32"/>
  <c r="AT71" i="32" s="1"/>
  <c r="AS50" i="32"/>
  <c r="AS71" i="32" s="1"/>
  <c r="AR50" i="32"/>
  <c r="AR71" i="32" s="1"/>
  <c r="AQ50" i="32"/>
  <c r="AQ71" i="32" s="1"/>
  <c r="AQ179" i="32" s="1"/>
  <c r="AP50" i="32"/>
  <c r="AP71" i="32" s="1"/>
  <c r="AP179" i="32" s="1"/>
  <c r="AO50" i="32"/>
  <c r="AN50" i="32"/>
  <c r="AN71" i="32" s="1"/>
  <c r="AM50" i="32"/>
  <c r="AM71" i="32" s="1"/>
  <c r="AL50" i="32"/>
  <c r="AY50" i="32" s="1"/>
  <c r="AY47" i="32"/>
  <c r="W47" i="32"/>
  <c r="W71" i="32" s="1"/>
  <c r="V47" i="32"/>
  <c r="V71" i="32" s="1"/>
  <c r="V175" i="32" s="1"/>
  <c r="S47" i="32"/>
  <c r="S71" i="32" s="1"/>
  <c r="R47" i="32"/>
  <c r="R71" i="32" s="1"/>
  <c r="Q47" i="32"/>
  <c r="Q71" i="32" s="1"/>
  <c r="P47" i="32"/>
  <c r="P71" i="32" s="1"/>
  <c r="P175" i="32" s="1"/>
  <c r="O47" i="32"/>
  <c r="O71" i="32" s="1"/>
  <c r="O175" i="32" s="1"/>
  <c r="N47" i="32"/>
  <c r="M47" i="32"/>
  <c r="M71" i="32" s="1"/>
  <c r="L47" i="32"/>
  <c r="L71" i="32" s="1"/>
  <c r="K47" i="32"/>
  <c r="K71" i="32" s="1"/>
  <c r="J47" i="32"/>
  <c r="J71" i="32" s="1"/>
  <c r="J175" i="32" s="1"/>
  <c r="I47" i="32"/>
  <c r="I71" i="32" s="1"/>
  <c r="I175" i="32" s="1"/>
  <c r="H47" i="32"/>
  <c r="U47" i="32" s="1"/>
  <c r="AY46" i="32"/>
  <c r="U46" i="32"/>
  <c r="AY45" i="32"/>
  <c r="U45" i="32"/>
  <c r="AY44" i="32"/>
  <c r="U44" i="32"/>
  <c r="AY43" i="32"/>
  <c r="U43" i="32"/>
  <c r="BA38" i="32"/>
  <c r="AZ38" i="32"/>
  <c r="AW38" i="32"/>
  <c r="AV38" i="32"/>
  <c r="AU38" i="32"/>
  <c r="AT38" i="32"/>
  <c r="AS38" i="32"/>
  <c r="AR38" i="32"/>
  <c r="AQ38" i="32"/>
  <c r="AP38" i="32"/>
  <c r="AO38" i="32"/>
  <c r="AN38" i="32"/>
  <c r="AM38" i="32"/>
  <c r="AL38" i="32"/>
  <c r="AY38" i="32" s="1"/>
  <c r="W38" i="32"/>
  <c r="V38" i="32"/>
  <c r="S38" i="32"/>
  <c r="R38" i="32"/>
  <c r="Q38" i="32"/>
  <c r="P38" i="32"/>
  <c r="O38" i="32"/>
  <c r="N38" i="32"/>
  <c r="M38" i="32"/>
  <c r="L38" i="32"/>
  <c r="K38" i="32"/>
  <c r="J38" i="32"/>
  <c r="I38" i="32"/>
  <c r="H38" i="32"/>
  <c r="U38" i="32" s="1"/>
  <c r="AY37" i="32"/>
  <c r="U37" i="32"/>
  <c r="BA34" i="32"/>
  <c r="AZ34" i="32"/>
  <c r="AW34" i="32"/>
  <c r="AV34" i="32"/>
  <c r="AU34" i="32"/>
  <c r="AU35" i="32" s="1"/>
  <c r="AU39" i="32" s="1"/>
  <c r="AT34" i="32"/>
  <c r="AS34" i="32"/>
  <c r="AR34" i="32"/>
  <c r="AQ34" i="32"/>
  <c r="AP34" i="32"/>
  <c r="AO34" i="32"/>
  <c r="AO35" i="32" s="1"/>
  <c r="AO39" i="32" s="1"/>
  <c r="AN34" i="32"/>
  <c r="AM34" i="32"/>
  <c r="AL34" i="32"/>
  <c r="AY34" i="32" s="1"/>
  <c r="V34" i="32"/>
  <c r="R34" i="32"/>
  <c r="Q34" i="32"/>
  <c r="P34" i="32"/>
  <c r="O34" i="32"/>
  <c r="N34" i="32"/>
  <c r="N35" i="32" s="1"/>
  <c r="N39" i="32" s="1"/>
  <c r="N176" i="32" s="1"/>
  <c r="N184" i="32" s="1"/>
  <c r="M34" i="32"/>
  <c r="L34" i="32"/>
  <c r="K34" i="32"/>
  <c r="J34" i="32"/>
  <c r="I34" i="32"/>
  <c r="H34" i="32"/>
  <c r="U34" i="32" s="1"/>
  <c r="AY33" i="32"/>
  <c r="U33" i="32"/>
  <c r="AY32" i="32"/>
  <c r="U32" i="32"/>
  <c r="AY31" i="32"/>
  <c r="U31" i="32"/>
  <c r="AY30" i="32"/>
  <c r="U30" i="32"/>
  <c r="AY29" i="32"/>
  <c r="U29" i="32"/>
  <c r="AY28" i="32"/>
  <c r="W28" i="32"/>
  <c r="S28" i="32"/>
  <c r="U28" i="32" s="1"/>
  <c r="AY27" i="32"/>
  <c r="W27" i="32"/>
  <c r="S27" i="32"/>
  <c r="U27" i="32" s="1"/>
  <c r="AY26" i="32"/>
  <c r="U26" i="32"/>
  <c r="AY25" i="32"/>
  <c r="U25" i="32"/>
  <c r="AY24" i="32"/>
  <c r="W24" i="32"/>
  <c r="W34" i="32" s="1"/>
  <c r="S24" i="32"/>
  <c r="S34" i="32" s="1"/>
  <c r="BA22" i="32"/>
  <c r="AZ22" i="32"/>
  <c r="AW22" i="32"/>
  <c r="AV22" i="32"/>
  <c r="AU22" i="32"/>
  <c r="AT22" i="32"/>
  <c r="AS22" i="32"/>
  <c r="AR22" i="32"/>
  <c r="AQ22" i="32"/>
  <c r="AP22" i="32"/>
  <c r="AO22" i="32"/>
  <c r="AN22" i="32"/>
  <c r="AM22" i="32"/>
  <c r="AL22" i="32"/>
  <c r="AY22" i="32" s="1"/>
  <c r="W22" i="32"/>
  <c r="V22" i="32"/>
  <c r="S22" i="32"/>
  <c r="R22" i="32"/>
  <c r="Q22" i="32"/>
  <c r="P22" i="32"/>
  <c r="O22" i="32"/>
  <c r="N22" i="32"/>
  <c r="M22" i="32"/>
  <c r="L22" i="32"/>
  <c r="K22" i="32"/>
  <c r="J22" i="32"/>
  <c r="I22" i="32"/>
  <c r="H22" i="32"/>
  <c r="U22" i="32" s="1"/>
  <c r="AY21" i="32"/>
  <c r="U21" i="32"/>
  <c r="AY20" i="32"/>
  <c r="U20" i="32"/>
  <c r="AY19" i="32"/>
  <c r="U19" i="32"/>
  <c r="AY18" i="32"/>
  <c r="W18" i="32"/>
  <c r="U18" i="32"/>
  <c r="AY17" i="32"/>
  <c r="U17" i="32"/>
  <c r="BA15" i="32"/>
  <c r="BA35" i="32" s="1"/>
  <c r="BA39" i="32" s="1"/>
  <c r="AZ15" i="32"/>
  <c r="AZ35" i="32" s="1"/>
  <c r="AZ39" i="32" s="1"/>
  <c r="AW15" i="32"/>
  <c r="AW35" i="32" s="1"/>
  <c r="AW39" i="32" s="1"/>
  <c r="AV15" i="32"/>
  <c r="AV35" i="32" s="1"/>
  <c r="AV39" i="32" s="1"/>
  <c r="AV180" i="32" s="1"/>
  <c r="AV187" i="32" s="1"/>
  <c r="AU15" i="32"/>
  <c r="AT15" i="32"/>
  <c r="AT35" i="32" s="1"/>
  <c r="AT39" i="32" s="1"/>
  <c r="AS15" i="32"/>
  <c r="AS35" i="32" s="1"/>
  <c r="AS39" i="32" s="1"/>
  <c r="AR15" i="32"/>
  <c r="AR35" i="32" s="1"/>
  <c r="AR39" i="32" s="1"/>
  <c r="AQ15" i="32"/>
  <c r="AQ35" i="32" s="1"/>
  <c r="AQ39" i="32" s="1"/>
  <c r="AP15" i="32"/>
  <c r="AP35" i="32" s="1"/>
  <c r="AP39" i="32" s="1"/>
  <c r="AP180" i="32" s="1"/>
  <c r="AP187" i="32" s="1"/>
  <c r="AO15" i="32"/>
  <c r="AN15" i="32"/>
  <c r="AN35" i="32" s="1"/>
  <c r="AN39" i="32" s="1"/>
  <c r="AM15" i="32"/>
  <c r="AM35" i="32" s="1"/>
  <c r="AM39" i="32" s="1"/>
  <c r="AL15" i="32"/>
  <c r="AY15" i="32" s="1"/>
  <c r="V15" i="32"/>
  <c r="V35" i="32" s="1"/>
  <c r="V39" i="32" s="1"/>
  <c r="S15" i="32"/>
  <c r="S35" i="32" s="1"/>
  <c r="S39" i="32" s="1"/>
  <c r="R15" i="32"/>
  <c r="R35" i="32" s="1"/>
  <c r="R39" i="32" s="1"/>
  <c r="Q15" i="32"/>
  <c r="Q35" i="32" s="1"/>
  <c r="Q39" i="32" s="1"/>
  <c r="P15" i="32"/>
  <c r="P35" i="32" s="1"/>
  <c r="P39" i="32" s="1"/>
  <c r="O15" i="32"/>
  <c r="O35" i="32" s="1"/>
  <c r="O39" i="32" s="1"/>
  <c r="N15" i="32"/>
  <c r="M15" i="32"/>
  <c r="M35" i="32" s="1"/>
  <c r="M39" i="32" s="1"/>
  <c r="L15" i="32"/>
  <c r="L35" i="32" s="1"/>
  <c r="L39" i="32" s="1"/>
  <c r="K15" i="32"/>
  <c r="K35" i="32" s="1"/>
  <c r="K39" i="32" s="1"/>
  <c r="J15" i="32"/>
  <c r="J35" i="32" s="1"/>
  <c r="J39" i="32" s="1"/>
  <c r="I15" i="32"/>
  <c r="I35" i="32" s="1"/>
  <c r="I39" i="32" s="1"/>
  <c r="H15" i="32"/>
  <c r="U15" i="32" s="1"/>
  <c r="AY14" i="32"/>
  <c r="U14" i="32"/>
  <c r="AY13" i="32"/>
  <c r="U13" i="32"/>
  <c r="AY12" i="32"/>
  <c r="U12" i="32"/>
  <c r="AY11" i="32"/>
  <c r="U11" i="32"/>
  <c r="AY10" i="32"/>
  <c r="U10" i="32"/>
  <c r="AY9" i="32"/>
  <c r="U9" i="32"/>
  <c r="AY8" i="32"/>
  <c r="U8" i="32"/>
  <c r="U7" i="32"/>
  <c r="AY6" i="32"/>
  <c r="U6" i="32"/>
  <c r="AY5" i="32"/>
  <c r="W5" i="32"/>
  <c r="W15" i="32" s="1"/>
  <c r="W35" i="32" s="1"/>
  <c r="W39" i="32" s="1"/>
  <c r="U5" i="32"/>
  <c r="V176" i="31"/>
  <c r="W174" i="31"/>
  <c r="W172" i="31"/>
  <c r="W171" i="31"/>
  <c r="W175" i="31" s="1"/>
  <c r="BA185" i="31"/>
  <c r="BA186" i="31" s="1"/>
  <c r="AZ185" i="31"/>
  <c r="AZ186" i="31" s="1"/>
  <c r="AW185" i="31"/>
  <c r="AW186" i="31" s="1"/>
  <c r="AV185" i="31"/>
  <c r="AV186" i="31" s="1"/>
  <c r="AU185" i="31"/>
  <c r="AU186" i="31" s="1"/>
  <c r="AT185" i="31"/>
  <c r="AT186" i="31" s="1"/>
  <c r="AS185" i="31"/>
  <c r="AS186" i="31" s="1"/>
  <c r="AR185" i="31"/>
  <c r="AR186" i="31" s="1"/>
  <c r="AQ185" i="31"/>
  <c r="AQ186" i="31" s="1"/>
  <c r="AP185" i="31"/>
  <c r="AP186" i="31" s="1"/>
  <c r="AO185" i="31"/>
  <c r="AO186" i="31" s="1"/>
  <c r="AN185" i="31"/>
  <c r="AN186" i="31" s="1"/>
  <c r="AM185" i="31"/>
  <c r="AM186" i="31" s="1"/>
  <c r="AL185" i="31"/>
  <c r="AY185" i="31" s="1"/>
  <c r="AY184" i="31"/>
  <c r="AY183" i="31"/>
  <c r="W183" i="31"/>
  <c r="V183" i="31"/>
  <c r="P183" i="31"/>
  <c r="O183" i="31"/>
  <c r="J183" i="31"/>
  <c r="I183" i="31"/>
  <c r="W182" i="31"/>
  <c r="V182" i="31"/>
  <c r="S182" i="31"/>
  <c r="S183" i="31" s="1"/>
  <c r="R182" i="31"/>
  <c r="R183" i="31" s="1"/>
  <c r="Q182" i="31"/>
  <c r="Q183" i="31" s="1"/>
  <c r="P182" i="31"/>
  <c r="O182" i="31"/>
  <c r="N182" i="31"/>
  <c r="N183" i="31" s="1"/>
  <c r="M182" i="31"/>
  <c r="M183" i="31" s="1"/>
  <c r="L182" i="31"/>
  <c r="L183" i="31" s="1"/>
  <c r="K182" i="31"/>
  <c r="K183" i="31" s="1"/>
  <c r="J182" i="31"/>
  <c r="I182" i="31"/>
  <c r="H182" i="31"/>
  <c r="U182" i="31" s="1"/>
  <c r="U181" i="31"/>
  <c r="U180" i="31"/>
  <c r="AX179" i="31"/>
  <c r="U179" i="31"/>
  <c r="BA177" i="31"/>
  <c r="BA170" i="31"/>
  <c r="AZ170" i="31"/>
  <c r="AW170" i="31"/>
  <c r="AV170" i="31"/>
  <c r="AU170" i="31"/>
  <c r="AT170" i="31"/>
  <c r="AS170" i="31"/>
  <c r="AR170" i="31"/>
  <c r="AQ170" i="31"/>
  <c r="AP170" i="31"/>
  <c r="AO170" i="31"/>
  <c r="AN170" i="31"/>
  <c r="AM170" i="31"/>
  <c r="AL170" i="31"/>
  <c r="AY170" i="31" s="1"/>
  <c r="W170" i="31"/>
  <c r="V170" i="31"/>
  <c r="S170" i="31"/>
  <c r="R170" i="31"/>
  <c r="Q170" i="31"/>
  <c r="P170" i="31"/>
  <c r="O170" i="31"/>
  <c r="N170" i="31"/>
  <c r="M170" i="31"/>
  <c r="L170" i="31"/>
  <c r="K170" i="31"/>
  <c r="J170" i="31"/>
  <c r="I170" i="31"/>
  <c r="H170" i="31"/>
  <c r="U170" i="31" s="1"/>
  <c r="AY169" i="31"/>
  <c r="U169" i="31"/>
  <c r="AY168" i="31"/>
  <c r="AY167" i="31"/>
  <c r="BA165" i="31"/>
  <c r="AZ165" i="31"/>
  <c r="AW165" i="31"/>
  <c r="AV165" i="31"/>
  <c r="AU165" i="31"/>
  <c r="AT165" i="31"/>
  <c r="AS165" i="31"/>
  <c r="AR165" i="31"/>
  <c r="AQ165" i="31"/>
  <c r="AP165" i="31"/>
  <c r="AO165" i="31"/>
  <c r="AN165" i="31"/>
  <c r="AM165" i="31"/>
  <c r="AL165" i="31"/>
  <c r="AY165" i="31" s="1"/>
  <c r="W165" i="31"/>
  <c r="V165" i="31"/>
  <c r="S165" i="31"/>
  <c r="R165" i="31"/>
  <c r="Q165" i="31"/>
  <c r="P165" i="31"/>
  <c r="O165" i="31"/>
  <c r="N165" i="31"/>
  <c r="M165" i="31"/>
  <c r="L165" i="31"/>
  <c r="K165" i="31"/>
  <c r="J165" i="31"/>
  <c r="I165" i="31"/>
  <c r="H165" i="31"/>
  <c r="U165" i="31" s="1"/>
  <c r="AY164" i="31"/>
  <c r="U164" i="31"/>
  <c r="BA162" i="31"/>
  <c r="BA171" i="31" s="1"/>
  <c r="AZ162" i="31"/>
  <c r="AZ171" i="31" s="1"/>
  <c r="AW162" i="31"/>
  <c r="AW171" i="31" s="1"/>
  <c r="AV162" i="31"/>
  <c r="AV171" i="31" s="1"/>
  <c r="AU162" i="31"/>
  <c r="AU171" i="31" s="1"/>
  <c r="AT162" i="31"/>
  <c r="AT171" i="31" s="1"/>
  <c r="AS162" i="31"/>
  <c r="AS171" i="31" s="1"/>
  <c r="AR162" i="31"/>
  <c r="AR171" i="31" s="1"/>
  <c r="AQ162" i="31"/>
  <c r="AQ171" i="31" s="1"/>
  <c r="AP162" i="31"/>
  <c r="AP171" i="31" s="1"/>
  <c r="AO162" i="31"/>
  <c r="AO171" i="31" s="1"/>
  <c r="AN162" i="31"/>
  <c r="AN171" i="31" s="1"/>
  <c r="AM162" i="31"/>
  <c r="AM171" i="31" s="1"/>
  <c r="AL162" i="31"/>
  <c r="AL171" i="31" s="1"/>
  <c r="W162" i="31"/>
  <c r="V162" i="31"/>
  <c r="V171" i="31" s="1"/>
  <c r="S162" i="31"/>
  <c r="S171" i="31" s="1"/>
  <c r="R162" i="31"/>
  <c r="R171" i="31" s="1"/>
  <c r="Q162" i="31"/>
  <c r="Q171" i="31" s="1"/>
  <c r="P162" i="31"/>
  <c r="P171" i="31" s="1"/>
  <c r="O162" i="31"/>
  <c r="O171" i="31" s="1"/>
  <c r="N162" i="31"/>
  <c r="N171" i="31" s="1"/>
  <c r="M162" i="31"/>
  <c r="M171" i="31" s="1"/>
  <c r="L162" i="31"/>
  <c r="L171" i="31" s="1"/>
  <c r="K162" i="31"/>
  <c r="K171" i="31" s="1"/>
  <c r="J162" i="31"/>
  <c r="J171" i="31" s="1"/>
  <c r="I162" i="31"/>
  <c r="I171" i="31" s="1"/>
  <c r="H162" i="31"/>
  <c r="H171" i="31" s="1"/>
  <c r="AY161" i="31"/>
  <c r="AY160" i="31"/>
  <c r="AY159" i="31"/>
  <c r="U159" i="31"/>
  <c r="AY158" i="31"/>
  <c r="BA155" i="31"/>
  <c r="AZ155" i="31"/>
  <c r="AT155" i="31"/>
  <c r="AS155" i="31"/>
  <c r="AN155" i="31"/>
  <c r="AM155" i="31"/>
  <c r="S155" i="31"/>
  <c r="R155" i="31"/>
  <c r="M155" i="31"/>
  <c r="L155" i="31"/>
  <c r="AY154" i="31"/>
  <c r="U154" i="31"/>
  <c r="BA153" i="31"/>
  <c r="AZ153" i="31"/>
  <c r="AW153" i="31"/>
  <c r="AW155" i="31" s="1"/>
  <c r="AV153" i="31"/>
  <c r="AV155" i="31" s="1"/>
  <c r="AU153" i="31"/>
  <c r="AU155" i="31" s="1"/>
  <c r="AT153" i="31"/>
  <c r="AS153" i="31"/>
  <c r="AR153" i="31"/>
  <c r="AR155" i="31" s="1"/>
  <c r="AQ153" i="31"/>
  <c r="AQ155" i="31" s="1"/>
  <c r="AP153" i="31"/>
  <c r="AP155" i="31" s="1"/>
  <c r="AO153" i="31"/>
  <c r="AO155" i="31" s="1"/>
  <c r="AN153" i="31"/>
  <c r="AM153" i="31"/>
  <c r="AL153" i="31"/>
  <c r="AY153" i="31" s="1"/>
  <c r="W153" i="31"/>
  <c r="W155" i="31" s="1"/>
  <c r="V153" i="31"/>
  <c r="V155" i="31" s="1"/>
  <c r="S153" i="31"/>
  <c r="R153" i="31"/>
  <c r="Q153" i="31"/>
  <c r="Q155" i="31" s="1"/>
  <c r="P153" i="31"/>
  <c r="P155" i="31" s="1"/>
  <c r="O153" i="31"/>
  <c r="O155" i="31" s="1"/>
  <c r="N153" i="31"/>
  <c r="N155" i="31" s="1"/>
  <c r="M153" i="31"/>
  <c r="L153" i="31"/>
  <c r="K153" i="31"/>
  <c r="K155" i="31" s="1"/>
  <c r="J153" i="31"/>
  <c r="J155" i="31" s="1"/>
  <c r="I153" i="31"/>
  <c r="I155" i="31" s="1"/>
  <c r="H153" i="31"/>
  <c r="H155" i="31" s="1"/>
  <c r="AY152" i="31"/>
  <c r="U152" i="31"/>
  <c r="BA148" i="31"/>
  <c r="AZ148" i="31"/>
  <c r="AW148" i="31"/>
  <c r="AV148" i="31"/>
  <c r="AU148" i="31"/>
  <c r="AT148" i="31"/>
  <c r="AS148" i="31"/>
  <c r="AR148" i="31"/>
  <c r="AQ148" i="31"/>
  <c r="AP148" i="31"/>
  <c r="AO148" i="31"/>
  <c r="AN148" i="31"/>
  <c r="AM148" i="31"/>
  <c r="AL148" i="31"/>
  <c r="AY148" i="31" s="1"/>
  <c r="W148" i="31"/>
  <c r="V148" i="31"/>
  <c r="S148" i="31"/>
  <c r="R148" i="31"/>
  <c r="Q148" i="31"/>
  <c r="P148" i="31"/>
  <c r="O148" i="31"/>
  <c r="N148" i="31"/>
  <c r="M148" i="31"/>
  <c r="K148" i="31"/>
  <c r="J148" i="31"/>
  <c r="I148" i="31"/>
  <c r="H148" i="31"/>
  <c r="U148" i="31" s="1"/>
  <c r="AY147" i="31"/>
  <c r="U147" i="31"/>
  <c r="AY146" i="31"/>
  <c r="U146" i="31"/>
  <c r="AY145" i="31"/>
  <c r="U145" i="31"/>
  <c r="AY144" i="31"/>
  <c r="U144" i="31"/>
  <c r="AY143" i="31"/>
  <c r="AY142" i="31"/>
  <c r="U142" i="31"/>
  <c r="AY141" i="31"/>
  <c r="U141" i="31"/>
  <c r="AY140" i="31"/>
  <c r="U140" i="31"/>
  <c r="AY139" i="31"/>
  <c r="U139" i="31"/>
  <c r="AY138" i="31"/>
  <c r="U138" i="31"/>
  <c r="AY137" i="31"/>
  <c r="L137" i="31"/>
  <c r="L148" i="31" s="1"/>
  <c r="BA124" i="31"/>
  <c r="AZ124" i="31"/>
  <c r="AW124" i="31"/>
  <c r="AV124" i="31"/>
  <c r="AU124" i="31"/>
  <c r="AT124" i="31"/>
  <c r="AS124" i="31"/>
  <c r="AR124" i="31"/>
  <c r="AQ124" i="31"/>
  <c r="AP124" i="31"/>
  <c r="AO124" i="31"/>
  <c r="AN124" i="31"/>
  <c r="AM124" i="31"/>
  <c r="AL124" i="31"/>
  <c r="AY124" i="31" s="1"/>
  <c r="W124" i="31"/>
  <c r="V124" i="31"/>
  <c r="R124" i="31"/>
  <c r="Q124" i="31"/>
  <c r="P124" i="31"/>
  <c r="O124" i="31"/>
  <c r="N124" i="31"/>
  <c r="M124" i="31"/>
  <c r="L124" i="31"/>
  <c r="K124" i="31"/>
  <c r="J124" i="31"/>
  <c r="I124" i="31"/>
  <c r="H124" i="31"/>
  <c r="U124" i="31" s="1"/>
  <c r="AY123" i="31"/>
  <c r="U123" i="31"/>
  <c r="AY122" i="31"/>
  <c r="U122" i="31"/>
  <c r="AY121" i="31"/>
  <c r="U121" i="31"/>
  <c r="AY120" i="31"/>
  <c r="U120" i="31"/>
  <c r="AY119" i="31"/>
  <c r="U119" i="31"/>
  <c r="AY118" i="31"/>
  <c r="U118" i="31"/>
  <c r="AY117" i="31"/>
  <c r="U117" i="31"/>
  <c r="AY116" i="31"/>
  <c r="AY115" i="31"/>
  <c r="U115" i="31"/>
  <c r="AY114" i="31"/>
  <c r="U114" i="31"/>
  <c r="AY113" i="31"/>
  <c r="U113" i="31"/>
  <c r="AY112" i="31"/>
  <c r="U112" i="31"/>
  <c r="AY111" i="31"/>
  <c r="AY110" i="31"/>
  <c r="S110" i="31"/>
  <c r="S124" i="31" s="1"/>
  <c r="AY109" i="31"/>
  <c r="U109" i="31"/>
  <c r="AY108" i="31"/>
  <c r="U108" i="31"/>
  <c r="AY107" i="31"/>
  <c r="U107" i="31"/>
  <c r="AY106" i="31"/>
  <c r="U106" i="31"/>
  <c r="AY105" i="31"/>
  <c r="U105" i="31"/>
  <c r="AY104" i="31"/>
  <c r="U104" i="31"/>
  <c r="AY103" i="31"/>
  <c r="U103" i="31"/>
  <c r="AY102" i="31"/>
  <c r="U102" i="31"/>
  <c r="AY101" i="31"/>
  <c r="U101" i="31"/>
  <c r="AY100" i="31"/>
  <c r="U100" i="31"/>
  <c r="AY99" i="31"/>
  <c r="U99" i="31"/>
  <c r="AY98" i="31"/>
  <c r="U98" i="31"/>
  <c r="AY97" i="31"/>
  <c r="U97" i="31"/>
  <c r="AY96" i="31"/>
  <c r="U96" i="31"/>
  <c r="AY95" i="31"/>
  <c r="U95" i="31"/>
  <c r="AY94" i="31"/>
  <c r="U94" i="31"/>
  <c r="AY93" i="31"/>
  <c r="U93" i="31"/>
  <c r="BA76" i="31"/>
  <c r="BA149" i="31" s="1"/>
  <c r="AZ76" i="31"/>
  <c r="AZ149" i="31" s="1"/>
  <c r="AW76" i="31"/>
  <c r="AW149" i="31" s="1"/>
  <c r="AV76" i="31"/>
  <c r="AV149" i="31" s="1"/>
  <c r="AU76" i="31"/>
  <c r="AU149" i="31" s="1"/>
  <c r="AT76" i="31"/>
  <c r="AT149" i="31" s="1"/>
  <c r="AS76" i="31"/>
  <c r="AS149" i="31" s="1"/>
  <c r="AR76" i="31"/>
  <c r="AR149" i="31" s="1"/>
  <c r="AQ76" i="31"/>
  <c r="AQ149" i="31" s="1"/>
  <c r="AP76" i="31"/>
  <c r="AP149" i="31" s="1"/>
  <c r="AO76" i="31"/>
  <c r="AO149" i="31" s="1"/>
  <c r="AN76" i="31"/>
  <c r="AN149" i="31" s="1"/>
  <c r="AM76" i="31"/>
  <c r="AM149" i="31" s="1"/>
  <c r="AL76" i="31"/>
  <c r="AY76" i="31" s="1"/>
  <c r="W76" i="31"/>
  <c r="W149" i="31" s="1"/>
  <c r="V76" i="31"/>
  <c r="V149" i="31" s="1"/>
  <c r="S76" i="31"/>
  <c r="R76" i="31"/>
  <c r="R149" i="31" s="1"/>
  <c r="Q76" i="31"/>
  <c r="Q149" i="31" s="1"/>
  <c r="P76" i="31"/>
  <c r="P149" i="31" s="1"/>
  <c r="O76" i="31"/>
  <c r="O149" i="31" s="1"/>
  <c r="N76" i="31"/>
  <c r="N149" i="31" s="1"/>
  <c r="M76" i="31"/>
  <c r="M149" i="31" s="1"/>
  <c r="L76" i="31"/>
  <c r="L149" i="31" s="1"/>
  <c r="K76" i="31"/>
  <c r="K149" i="31" s="1"/>
  <c r="J76" i="31"/>
  <c r="J149" i="31" s="1"/>
  <c r="I76" i="31"/>
  <c r="I149" i="31" s="1"/>
  <c r="H76" i="31"/>
  <c r="U76" i="31" s="1"/>
  <c r="AY75" i="31"/>
  <c r="U75" i="31"/>
  <c r="AY74" i="31"/>
  <c r="U74" i="31"/>
  <c r="BA70" i="31"/>
  <c r="AZ70" i="31"/>
  <c r="AW70" i="31"/>
  <c r="AV70" i="31"/>
  <c r="AU70" i="31"/>
  <c r="AT70" i="31"/>
  <c r="AS70" i="31"/>
  <c r="AR70" i="31"/>
  <c r="AQ70" i="31"/>
  <c r="AP70" i="31"/>
  <c r="AO70" i="31"/>
  <c r="AN70" i="31"/>
  <c r="AM70" i="31"/>
  <c r="AL70" i="31"/>
  <c r="AY70" i="31" s="1"/>
  <c r="W70" i="31"/>
  <c r="V70" i="31"/>
  <c r="S70" i="31"/>
  <c r="R70" i="31"/>
  <c r="Q70" i="31"/>
  <c r="P70" i="31"/>
  <c r="O70" i="31"/>
  <c r="N70" i="31"/>
  <c r="M70" i="31"/>
  <c r="L70" i="31"/>
  <c r="K70" i="31"/>
  <c r="J70" i="31"/>
  <c r="I70" i="31"/>
  <c r="H70" i="31"/>
  <c r="U70" i="31" s="1"/>
  <c r="AY69" i="31"/>
  <c r="U69" i="31"/>
  <c r="AY68" i="31"/>
  <c r="AY67" i="31"/>
  <c r="U67" i="31"/>
  <c r="BA65" i="31"/>
  <c r="AZ65" i="31"/>
  <c r="AW65" i="31"/>
  <c r="AV65" i="31"/>
  <c r="AU65" i="31"/>
  <c r="AT65" i="31"/>
  <c r="AS65" i="31"/>
  <c r="AR65" i="31"/>
  <c r="AQ65" i="31"/>
  <c r="AP65" i="31"/>
  <c r="AO65" i="31"/>
  <c r="AN65" i="31"/>
  <c r="AM65" i="31"/>
  <c r="AL65" i="31"/>
  <c r="AY65" i="31" s="1"/>
  <c r="W65" i="31"/>
  <c r="V65" i="31"/>
  <c r="S65" i="31"/>
  <c r="R65" i="31"/>
  <c r="Q65" i="31"/>
  <c r="P65" i="31"/>
  <c r="O65" i="31"/>
  <c r="N65" i="31"/>
  <c r="M65" i="31"/>
  <c r="L65" i="31"/>
  <c r="K65" i="31"/>
  <c r="J65" i="31"/>
  <c r="I65" i="31"/>
  <c r="H65" i="31"/>
  <c r="U65" i="31" s="1"/>
  <c r="AY64" i="31"/>
  <c r="U64" i="31"/>
  <c r="AY63" i="31"/>
  <c r="U63" i="31"/>
  <c r="AY62" i="31"/>
  <c r="U62" i="31"/>
  <c r="AZ60" i="31"/>
  <c r="AW60" i="31"/>
  <c r="AV60" i="31"/>
  <c r="AU60" i="31"/>
  <c r="AT60" i="31"/>
  <c r="AS60" i="31"/>
  <c r="AR60" i="31"/>
  <c r="AQ60" i="31"/>
  <c r="AP60" i="31"/>
  <c r="AO60" i="31"/>
  <c r="AN60" i="31"/>
  <c r="AM60" i="31"/>
  <c r="AL60" i="31"/>
  <c r="AY60" i="31" s="1"/>
  <c r="W60" i="31"/>
  <c r="V60" i="31"/>
  <c r="S60" i="31"/>
  <c r="R60" i="31"/>
  <c r="Q60" i="31"/>
  <c r="P60" i="31"/>
  <c r="O60" i="31"/>
  <c r="N60" i="31"/>
  <c r="M60" i="31"/>
  <c r="L60" i="31"/>
  <c r="K60" i="31"/>
  <c r="J60" i="31"/>
  <c r="I60" i="31"/>
  <c r="H60" i="31"/>
  <c r="U60" i="31" s="1"/>
  <c r="BA59" i="31"/>
  <c r="BA60" i="31" s="1"/>
  <c r="AY59" i="31"/>
  <c r="U59" i="31"/>
  <c r="BA58" i="31"/>
  <c r="AY58" i="31"/>
  <c r="U58" i="31"/>
  <c r="BA56" i="31"/>
  <c r="AZ56" i="31"/>
  <c r="AW56" i="31"/>
  <c r="AV56" i="31"/>
  <c r="AU56" i="31"/>
  <c r="AT56" i="31"/>
  <c r="AS56" i="31"/>
  <c r="AR56" i="31"/>
  <c r="AQ56" i="31"/>
  <c r="AP56" i="31"/>
  <c r="AO56" i="31"/>
  <c r="AN56" i="31"/>
  <c r="AM56" i="31"/>
  <c r="AL56" i="31"/>
  <c r="AY56" i="31" s="1"/>
  <c r="W56" i="31"/>
  <c r="V56" i="31"/>
  <c r="S56" i="31"/>
  <c r="R56" i="31"/>
  <c r="Q56" i="31"/>
  <c r="P56" i="31"/>
  <c r="O56" i="31"/>
  <c r="N56" i="31"/>
  <c r="M56" i="31"/>
  <c r="L56" i="31"/>
  <c r="K56" i="31"/>
  <c r="J56" i="31"/>
  <c r="I56" i="31"/>
  <c r="H56" i="31"/>
  <c r="U56" i="31" s="1"/>
  <c r="AY55" i="31"/>
  <c r="U55" i="31"/>
  <c r="AY54" i="31"/>
  <c r="U54" i="31"/>
  <c r="W52" i="31"/>
  <c r="V52" i="31"/>
  <c r="S52" i="31"/>
  <c r="R52" i="31"/>
  <c r="Q52" i="31"/>
  <c r="P52" i="31"/>
  <c r="O52" i="31"/>
  <c r="N52" i="31"/>
  <c r="M52" i="31"/>
  <c r="L52" i="31"/>
  <c r="K52" i="31"/>
  <c r="J52" i="31"/>
  <c r="I52" i="31"/>
  <c r="H52" i="31"/>
  <c r="U52" i="31" s="1"/>
  <c r="U51" i="31"/>
  <c r="BA50" i="31"/>
  <c r="BA71" i="31" s="1"/>
  <c r="BA179" i="31" s="1"/>
  <c r="AZ50" i="31"/>
  <c r="AZ71" i="31" s="1"/>
  <c r="AZ179" i="31" s="1"/>
  <c r="AW50" i="31"/>
  <c r="AW71" i="31" s="1"/>
  <c r="AV50" i="31"/>
  <c r="AV71" i="31" s="1"/>
  <c r="AU50" i="31"/>
  <c r="AU71" i="31" s="1"/>
  <c r="AU179" i="31" s="1"/>
  <c r="AT50" i="31"/>
  <c r="AT71" i="31" s="1"/>
  <c r="AS50" i="31"/>
  <c r="AS71" i="31" s="1"/>
  <c r="AS179" i="31" s="1"/>
  <c r="AR50" i="31"/>
  <c r="AR71" i="31" s="1"/>
  <c r="AR179" i="31" s="1"/>
  <c r="AQ50" i="31"/>
  <c r="AQ71" i="31" s="1"/>
  <c r="AP50" i="31"/>
  <c r="AP71" i="31" s="1"/>
  <c r="AO50" i="31"/>
  <c r="AO71" i="31" s="1"/>
  <c r="AO179" i="31" s="1"/>
  <c r="AN50" i="31"/>
  <c r="AN71" i="31" s="1"/>
  <c r="AM50" i="31"/>
  <c r="AM71" i="31" s="1"/>
  <c r="AM179" i="31" s="1"/>
  <c r="AL50" i="31"/>
  <c r="AY50" i="31" s="1"/>
  <c r="AY47" i="31"/>
  <c r="W47" i="31"/>
  <c r="V47" i="31"/>
  <c r="V71" i="31" s="1"/>
  <c r="V175" i="31" s="1"/>
  <c r="S47" i="31"/>
  <c r="S71" i="31" s="1"/>
  <c r="R47" i="31"/>
  <c r="R71" i="31" s="1"/>
  <c r="R175" i="31" s="1"/>
  <c r="Q47" i="31"/>
  <c r="Q71" i="31" s="1"/>
  <c r="P47" i="31"/>
  <c r="P71" i="31" s="1"/>
  <c r="P175" i="31" s="1"/>
  <c r="O47" i="31"/>
  <c r="O71" i="31" s="1"/>
  <c r="N47" i="31"/>
  <c r="N71" i="31" s="1"/>
  <c r="N175" i="31" s="1"/>
  <c r="M47" i="31"/>
  <c r="M71" i="31" s="1"/>
  <c r="M175" i="31" s="1"/>
  <c r="L47" i="31"/>
  <c r="L71" i="31" s="1"/>
  <c r="L175" i="31" s="1"/>
  <c r="K47" i="31"/>
  <c r="K71" i="31" s="1"/>
  <c r="J47" i="31"/>
  <c r="J71" i="31" s="1"/>
  <c r="J175" i="31" s="1"/>
  <c r="I47" i="31"/>
  <c r="I71" i="31" s="1"/>
  <c r="H47" i="31"/>
  <c r="H71" i="31" s="1"/>
  <c r="AY46" i="31"/>
  <c r="U46" i="31"/>
  <c r="AY45" i="31"/>
  <c r="U45" i="31"/>
  <c r="AY44" i="31"/>
  <c r="U44" i="31"/>
  <c r="AY43" i="31"/>
  <c r="U43" i="31"/>
  <c r="BA38" i="31"/>
  <c r="AZ38" i="31"/>
  <c r="AW38" i="31"/>
  <c r="AV38" i="31"/>
  <c r="AU38" i="31"/>
  <c r="AT38" i="31"/>
  <c r="AS38" i="31"/>
  <c r="AR38" i="31"/>
  <c r="AQ38" i="31"/>
  <c r="AP38" i="31"/>
  <c r="AO38" i="31"/>
  <c r="AN38" i="31"/>
  <c r="AM38" i="31"/>
  <c r="AL38" i="31"/>
  <c r="AY38" i="31" s="1"/>
  <c r="W38" i="31"/>
  <c r="V38" i="31"/>
  <c r="S38" i="31"/>
  <c r="R38" i="31"/>
  <c r="Q38" i="31"/>
  <c r="P38" i="31"/>
  <c r="O38" i="31"/>
  <c r="N38" i="31"/>
  <c r="M38" i="31"/>
  <c r="L38" i="31"/>
  <c r="K38" i="31"/>
  <c r="J38" i="31"/>
  <c r="I38" i="31"/>
  <c r="H38" i="31"/>
  <c r="U38" i="31" s="1"/>
  <c r="AY37" i="31"/>
  <c r="U37" i="31"/>
  <c r="BA34" i="31"/>
  <c r="AZ34" i="31"/>
  <c r="AW34" i="31"/>
  <c r="AV34" i="31"/>
  <c r="AU34" i="31"/>
  <c r="AT34" i="31"/>
  <c r="AS34" i="31"/>
  <c r="AR34" i="31"/>
  <c r="AQ34" i="31"/>
  <c r="AP34" i="31"/>
  <c r="AO34" i="31"/>
  <c r="AN34" i="31"/>
  <c r="AM34" i="31"/>
  <c r="AL34" i="31"/>
  <c r="AY34" i="31" s="1"/>
  <c r="V34" i="31"/>
  <c r="R34" i="31"/>
  <c r="Q34" i="31"/>
  <c r="P34" i="31"/>
  <c r="O34" i="31"/>
  <c r="N34" i="31"/>
  <c r="M34" i="31"/>
  <c r="L34" i="31"/>
  <c r="K34" i="31"/>
  <c r="J34" i="31"/>
  <c r="I34" i="31"/>
  <c r="H34" i="31"/>
  <c r="AY33" i="31"/>
  <c r="U33" i="31"/>
  <c r="AY32" i="31"/>
  <c r="U32" i="31"/>
  <c r="AY31" i="31"/>
  <c r="U31" i="31"/>
  <c r="AY30" i="31"/>
  <c r="U30" i="31"/>
  <c r="AY29" i="31"/>
  <c r="U29" i="31"/>
  <c r="AY28" i="31"/>
  <c r="W28" i="31"/>
  <c r="U28" i="31"/>
  <c r="S28" i="31"/>
  <c r="AY27" i="31"/>
  <c r="W27" i="31"/>
  <c r="S27" i="31"/>
  <c r="U27" i="31" s="1"/>
  <c r="AY26" i="31"/>
  <c r="U26" i="31"/>
  <c r="AY25" i="31"/>
  <c r="U25" i="31"/>
  <c r="AY24" i="31"/>
  <c r="W24" i="31"/>
  <c r="W34" i="31" s="1"/>
  <c r="U24" i="31"/>
  <c r="S24" i="31"/>
  <c r="S34" i="31" s="1"/>
  <c r="BA22" i="31"/>
  <c r="AZ22" i="31"/>
  <c r="AW22" i="31"/>
  <c r="AV22" i="31"/>
  <c r="AU22" i="31"/>
  <c r="AT22" i="31"/>
  <c r="AS22" i="31"/>
  <c r="AR22" i="31"/>
  <c r="AQ22" i="31"/>
  <c r="AP22" i="31"/>
  <c r="AO22" i="31"/>
  <c r="AN22" i="31"/>
  <c r="AM22" i="31"/>
  <c r="AL22" i="31"/>
  <c r="AY22" i="31" s="1"/>
  <c r="V22" i="31"/>
  <c r="S22" i="31"/>
  <c r="R22" i="31"/>
  <c r="Q22" i="31"/>
  <c r="P22" i="31"/>
  <c r="O22" i="31"/>
  <c r="N22" i="31"/>
  <c r="M22" i="31"/>
  <c r="L22" i="31"/>
  <c r="K22" i="31"/>
  <c r="J22" i="31"/>
  <c r="I22" i="31"/>
  <c r="H22" i="31"/>
  <c r="U22" i="31" s="1"/>
  <c r="AY21" i="31"/>
  <c r="U21" i="31"/>
  <c r="AY20" i="31"/>
  <c r="U20" i="31"/>
  <c r="AY19" i="31"/>
  <c r="U19" i="31"/>
  <c r="AY18" i="31"/>
  <c r="W18" i="31"/>
  <c r="W22" i="31" s="1"/>
  <c r="U18" i="31"/>
  <c r="AY17" i="31"/>
  <c r="U17" i="31"/>
  <c r="BA15" i="31"/>
  <c r="BA35" i="31" s="1"/>
  <c r="BA39" i="31" s="1"/>
  <c r="BA180" i="31" s="1"/>
  <c r="BA187" i="31" s="1"/>
  <c r="AZ15" i="31"/>
  <c r="AZ35" i="31" s="1"/>
  <c r="AZ39" i="31" s="1"/>
  <c r="AZ180" i="31" s="1"/>
  <c r="AW15" i="31"/>
  <c r="AW35" i="31" s="1"/>
  <c r="AW39" i="31" s="1"/>
  <c r="AV15" i="31"/>
  <c r="AV35" i="31" s="1"/>
  <c r="AV39" i="31" s="1"/>
  <c r="AU15" i="31"/>
  <c r="AU35" i="31" s="1"/>
  <c r="AU39" i="31" s="1"/>
  <c r="AU180" i="31" s="1"/>
  <c r="AU187" i="31" s="1"/>
  <c r="AT15" i="31"/>
  <c r="AT35" i="31" s="1"/>
  <c r="AT39" i="31" s="1"/>
  <c r="AS15" i="31"/>
  <c r="AS35" i="31" s="1"/>
  <c r="AS39" i="31" s="1"/>
  <c r="AR15" i="31"/>
  <c r="AR35" i="31" s="1"/>
  <c r="AR39" i="31" s="1"/>
  <c r="AR180" i="31" s="1"/>
  <c r="AQ15" i="31"/>
  <c r="AQ35" i="31" s="1"/>
  <c r="AQ39" i="31" s="1"/>
  <c r="AP15" i="31"/>
  <c r="AP35" i="31" s="1"/>
  <c r="AP39" i="31" s="1"/>
  <c r="AO15" i="31"/>
  <c r="AO35" i="31" s="1"/>
  <c r="AO39" i="31" s="1"/>
  <c r="AO180" i="31" s="1"/>
  <c r="AO187" i="31" s="1"/>
  <c r="AN15" i="31"/>
  <c r="AN35" i="31" s="1"/>
  <c r="AN39" i="31" s="1"/>
  <c r="AM15" i="31"/>
  <c r="AM35" i="31" s="1"/>
  <c r="AM39" i="31" s="1"/>
  <c r="AL15" i="31"/>
  <c r="AY15" i="31" s="1"/>
  <c r="V15" i="31"/>
  <c r="V35" i="31" s="1"/>
  <c r="V39" i="31" s="1"/>
  <c r="S15" i="31"/>
  <c r="S35" i="31" s="1"/>
  <c r="S39" i="31" s="1"/>
  <c r="R15" i="31"/>
  <c r="R35" i="31" s="1"/>
  <c r="R39" i="31" s="1"/>
  <c r="Q15" i="31"/>
  <c r="Q35" i="31" s="1"/>
  <c r="Q39" i="31" s="1"/>
  <c r="P15" i="31"/>
  <c r="P35" i="31" s="1"/>
  <c r="P39" i="31" s="1"/>
  <c r="P176" i="31" s="1"/>
  <c r="P184" i="31" s="1"/>
  <c r="O15" i="31"/>
  <c r="O35" i="31" s="1"/>
  <c r="O39" i="31" s="1"/>
  <c r="N15" i="31"/>
  <c r="N35" i="31" s="1"/>
  <c r="N39" i="31" s="1"/>
  <c r="M15" i="31"/>
  <c r="M35" i="31" s="1"/>
  <c r="M39" i="31" s="1"/>
  <c r="M176" i="31" s="1"/>
  <c r="M184" i="31" s="1"/>
  <c r="L15" i="31"/>
  <c r="L35" i="31" s="1"/>
  <c r="L39" i="31" s="1"/>
  <c r="K15" i="31"/>
  <c r="K35" i="31" s="1"/>
  <c r="K39" i="31" s="1"/>
  <c r="J15" i="31"/>
  <c r="J35" i="31" s="1"/>
  <c r="J39" i="31" s="1"/>
  <c r="J176" i="31" s="1"/>
  <c r="J184" i="31" s="1"/>
  <c r="I15" i="31"/>
  <c r="I35" i="31" s="1"/>
  <c r="I39" i="31" s="1"/>
  <c r="H15" i="31"/>
  <c r="H35" i="31" s="1"/>
  <c r="AY14" i="31"/>
  <c r="U14" i="31"/>
  <c r="AY13" i="31"/>
  <c r="U13" i="31"/>
  <c r="AY12" i="31"/>
  <c r="U12" i="31"/>
  <c r="AY11" i="31"/>
  <c r="U11" i="31"/>
  <c r="AY10" i="31"/>
  <c r="U10" i="31"/>
  <c r="AY9" i="31"/>
  <c r="U9" i="31"/>
  <c r="AY8" i="31"/>
  <c r="U8" i="31"/>
  <c r="U7" i="31"/>
  <c r="AY6" i="31"/>
  <c r="U6" i="31"/>
  <c r="AY5" i="31"/>
  <c r="W5" i="31"/>
  <c r="W15" i="31" s="1"/>
  <c r="U5" i="31"/>
  <c r="AZ186" i="30"/>
  <c r="AW186" i="30"/>
  <c r="AS186" i="30"/>
  <c r="AR186" i="30"/>
  <c r="AQ186" i="30"/>
  <c r="AM186" i="30"/>
  <c r="AL186" i="30"/>
  <c r="BA185" i="30"/>
  <c r="BA186" i="30" s="1"/>
  <c r="AZ185" i="30"/>
  <c r="AW185" i="30"/>
  <c r="AV185" i="30"/>
  <c r="AV186" i="30" s="1"/>
  <c r="AU185" i="30"/>
  <c r="AU186" i="30" s="1"/>
  <c r="AT185" i="30"/>
  <c r="AT186" i="30" s="1"/>
  <c r="AS185" i="30"/>
  <c r="AR185" i="30"/>
  <c r="AQ185" i="30"/>
  <c r="AP185" i="30"/>
  <c r="AP186" i="30" s="1"/>
  <c r="AO185" i="30"/>
  <c r="AO186" i="30" s="1"/>
  <c r="AN185" i="30"/>
  <c r="AN186" i="30" s="1"/>
  <c r="AM185" i="30"/>
  <c r="AL185" i="30"/>
  <c r="AY185" i="30" s="1"/>
  <c r="AY184" i="30"/>
  <c r="AY183" i="30"/>
  <c r="S183" i="30"/>
  <c r="R183" i="30"/>
  <c r="N183" i="30"/>
  <c r="M183" i="30"/>
  <c r="L183" i="30"/>
  <c r="H183" i="30"/>
  <c r="W182" i="30"/>
  <c r="W183" i="30" s="1"/>
  <c r="V182" i="30"/>
  <c r="V183" i="30" s="1"/>
  <c r="S182" i="30"/>
  <c r="R182" i="30"/>
  <c r="Q182" i="30"/>
  <c r="Q183" i="30" s="1"/>
  <c r="P182" i="30"/>
  <c r="P183" i="30" s="1"/>
  <c r="O182" i="30"/>
  <c r="O183" i="30" s="1"/>
  <c r="N182" i="30"/>
  <c r="M182" i="30"/>
  <c r="L182" i="30"/>
  <c r="K182" i="30"/>
  <c r="K183" i="30" s="1"/>
  <c r="J182" i="30"/>
  <c r="J183" i="30" s="1"/>
  <c r="I182" i="30"/>
  <c r="I183" i="30" s="1"/>
  <c r="H182" i="30"/>
  <c r="U182" i="30" s="1"/>
  <c r="U181" i="30"/>
  <c r="U180" i="30"/>
  <c r="AX179" i="30"/>
  <c r="U179" i="30"/>
  <c r="BA177" i="30"/>
  <c r="BA170" i="30"/>
  <c r="AZ170" i="30"/>
  <c r="AW170" i="30"/>
  <c r="AV170" i="30"/>
  <c r="AU170" i="30"/>
  <c r="AT170" i="30"/>
  <c r="AS170" i="30"/>
  <c r="AR170" i="30"/>
  <c r="AQ170" i="30"/>
  <c r="AP170" i="30"/>
  <c r="AO170" i="30"/>
  <c r="AN170" i="30"/>
  <c r="AM170" i="30"/>
  <c r="AL170" i="30"/>
  <c r="AY170" i="30" s="1"/>
  <c r="W170" i="30"/>
  <c r="V170" i="30"/>
  <c r="S170" i="30"/>
  <c r="R170" i="30"/>
  <c r="Q170" i="30"/>
  <c r="P170" i="30"/>
  <c r="O170" i="30"/>
  <c r="N170" i="30"/>
  <c r="M170" i="30"/>
  <c r="L170" i="30"/>
  <c r="K170" i="30"/>
  <c r="J170" i="30"/>
  <c r="I170" i="30"/>
  <c r="H170" i="30"/>
  <c r="U170" i="30" s="1"/>
  <c r="AY169" i="30"/>
  <c r="U169" i="30"/>
  <c r="AY168" i="30"/>
  <c r="AY167" i="30"/>
  <c r="BA165" i="30"/>
  <c r="AZ165" i="30"/>
  <c r="AW165" i="30"/>
  <c r="AV165" i="30"/>
  <c r="AU165" i="30"/>
  <c r="AT165" i="30"/>
  <c r="AS165" i="30"/>
  <c r="AR165" i="30"/>
  <c r="AQ165" i="30"/>
  <c r="AP165" i="30"/>
  <c r="AO165" i="30"/>
  <c r="AN165" i="30"/>
  <c r="AM165" i="30"/>
  <c r="AL165" i="30"/>
  <c r="AY165" i="30" s="1"/>
  <c r="W165" i="30"/>
  <c r="V165" i="30"/>
  <c r="S165" i="30"/>
  <c r="R165" i="30"/>
  <c r="Q165" i="30"/>
  <c r="P165" i="30"/>
  <c r="O165" i="30"/>
  <c r="N165" i="30"/>
  <c r="M165" i="30"/>
  <c r="L165" i="30"/>
  <c r="K165" i="30"/>
  <c r="J165" i="30"/>
  <c r="I165" i="30"/>
  <c r="H165" i="30"/>
  <c r="AY164" i="30"/>
  <c r="U164" i="30"/>
  <c r="BA162" i="30"/>
  <c r="BA171" i="30" s="1"/>
  <c r="AZ162" i="30"/>
  <c r="AZ171" i="30" s="1"/>
  <c r="AW162" i="30"/>
  <c r="AW171" i="30" s="1"/>
  <c r="AV162" i="30"/>
  <c r="AV171" i="30" s="1"/>
  <c r="AU162" i="30"/>
  <c r="AU171" i="30" s="1"/>
  <c r="AT162" i="30"/>
  <c r="AT171" i="30" s="1"/>
  <c r="AS162" i="30"/>
  <c r="AS171" i="30" s="1"/>
  <c r="AR162" i="30"/>
  <c r="AR171" i="30" s="1"/>
  <c r="AQ162" i="30"/>
  <c r="AQ171" i="30" s="1"/>
  <c r="AP162" i="30"/>
  <c r="AP171" i="30" s="1"/>
  <c r="AO162" i="30"/>
  <c r="AO171" i="30" s="1"/>
  <c r="AN162" i="30"/>
  <c r="AN171" i="30" s="1"/>
  <c r="AM162" i="30"/>
  <c r="AM171" i="30" s="1"/>
  <c r="AL162" i="30"/>
  <c r="AL171" i="30" s="1"/>
  <c r="AY171" i="30" s="1"/>
  <c r="W162" i="30"/>
  <c r="W171" i="30" s="1"/>
  <c r="V162" i="30"/>
  <c r="V171" i="30" s="1"/>
  <c r="S162" i="30"/>
  <c r="S171" i="30" s="1"/>
  <c r="R162" i="30"/>
  <c r="R171" i="30" s="1"/>
  <c r="Q162" i="30"/>
  <c r="Q171" i="30" s="1"/>
  <c r="P162" i="30"/>
  <c r="P171" i="30" s="1"/>
  <c r="O162" i="30"/>
  <c r="N162" i="30"/>
  <c r="N171" i="30" s="1"/>
  <c r="M162" i="30"/>
  <c r="M171" i="30" s="1"/>
  <c r="L162" i="30"/>
  <c r="L171" i="30" s="1"/>
  <c r="K162" i="30"/>
  <c r="K171" i="30" s="1"/>
  <c r="J162" i="30"/>
  <c r="J171" i="30" s="1"/>
  <c r="I162" i="30"/>
  <c r="H162" i="30"/>
  <c r="H171" i="30" s="1"/>
  <c r="AY161" i="30"/>
  <c r="AY160" i="30"/>
  <c r="AY159" i="30"/>
  <c r="U159" i="30"/>
  <c r="AY158" i="30"/>
  <c r="AW155" i="30"/>
  <c r="AR155" i="30"/>
  <c r="AQ155" i="30"/>
  <c r="AL155" i="30"/>
  <c r="W155" i="30"/>
  <c r="Q155" i="30"/>
  <c r="P155" i="30"/>
  <c r="K155" i="30"/>
  <c r="J155" i="30"/>
  <c r="AY154" i="30"/>
  <c r="U154" i="30"/>
  <c r="BA153" i="30"/>
  <c r="BA155" i="30" s="1"/>
  <c r="AZ153" i="30"/>
  <c r="AZ155" i="30" s="1"/>
  <c r="AW153" i="30"/>
  <c r="AV153" i="30"/>
  <c r="AV155" i="30" s="1"/>
  <c r="AU153" i="30"/>
  <c r="AU155" i="30" s="1"/>
  <c r="AT153" i="30"/>
  <c r="AT155" i="30" s="1"/>
  <c r="AS153" i="30"/>
  <c r="AS155" i="30" s="1"/>
  <c r="AR153" i="30"/>
  <c r="AQ153" i="30"/>
  <c r="AP153" i="30"/>
  <c r="AP155" i="30" s="1"/>
  <c r="AO153" i="30"/>
  <c r="AO155" i="30" s="1"/>
  <c r="AN153" i="30"/>
  <c r="AN155" i="30" s="1"/>
  <c r="AM153" i="30"/>
  <c r="AM155" i="30" s="1"/>
  <c r="AL153" i="30"/>
  <c r="AY153" i="30" s="1"/>
  <c r="W153" i="30"/>
  <c r="V153" i="30"/>
  <c r="V155" i="30" s="1"/>
  <c r="S153" i="30"/>
  <c r="S155" i="30" s="1"/>
  <c r="R153" i="30"/>
  <c r="R155" i="30" s="1"/>
  <c r="Q153" i="30"/>
  <c r="P153" i="30"/>
  <c r="O153" i="30"/>
  <c r="O155" i="30" s="1"/>
  <c r="N153" i="30"/>
  <c r="N155" i="30" s="1"/>
  <c r="M153" i="30"/>
  <c r="M155" i="30" s="1"/>
  <c r="L153" i="30"/>
  <c r="L155" i="30" s="1"/>
  <c r="K153" i="30"/>
  <c r="J153" i="30"/>
  <c r="I153" i="30"/>
  <c r="I155" i="30" s="1"/>
  <c r="H153" i="30"/>
  <c r="H155" i="30" s="1"/>
  <c r="AY152" i="30"/>
  <c r="U152" i="30"/>
  <c r="H149" i="30"/>
  <c r="BA148" i="30"/>
  <c r="AZ148" i="30"/>
  <c r="AW148" i="30"/>
  <c r="AV148" i="30"/>
  <c r="AV149" i="30" s="1"/>
  <c r="AU148" i="30"/>
  <c r="AU149" i="30" s="1"/>
  <c r="AT148" i="30"/>
  <c r="AS148" i="30"/>
  <c r="AR148" i="30"/>
  <c r="AQ148" i="30"/>
  <c r="AP148" i="30"/>
  <c r="AP149" i="30" s="1"/>
  <c r="AO148" i="30"/>
  <c r="AO149" i="30" s="1"/>
  <c r="AN148" i="30"/>
  <c r="AM148" i="30"/>
  <c r="AL148" i="30"/>
  <c r="W148" i="30"/>
  <c r="V148" i="30"/>
  <c r="V149" i="30" s="1"/>
  <c r="S148" i="30"/>
  <c r="R148" i="30"/>
  <c r="Q148" i="30"/>
  <c r="P148" i="30"/>
  <c r="O148" i="30"/>
  <c r="O149" i="30" s="1"/>
  <c r="N148" i="30"/>
  <c r="N149" i="30" s="1"/>
  <c r="M148" i="30"/>
  <c r="K148" i="30"/>
  <c r="J148" i="30"/>
  <c r="I148" i="30"/>
  <c r="I149" i="30" s="1"/>
  <c r="H148" i="30"/>
  <c r="AY147" i="30"/>
  <c r="U147" i="30"/>
  <c r="AY146" i="30"/>
  <c r="U146" i="30"/>
  <c r="AY145" i="30"/>
  <c r="U145" i="30"/>
  <c r="AY144" i="30"/>
  <c r="U144" i="30"/>
  <c r="AY143" i="30"/>
  <c r="AY142" i="30"/>
  <c r="U142" i="30"/>
  <c r="AY141" i="30"/>
  <c r="U141" i="30"/>
  <c r="AY140" i="30"/>
  <c r="U140" i="30"/>
  <c r="AY139" i="30"/>
  <c r="U139" i="30"/>
  <c r="AY138" i="30"/>
  <c r="U138" i="30"/>
  <c r="AY137" i="30"/>
  <c r="L137" i="30"/>
  <c r="L148" i="30" s="1"/>
  <c r="U148" i="30" s="1"/>
  <c r="BA124" i="30"/>
  <c r="AZ124" i="30"/>
  <c r="AW124" i="30"/>
  <c r="AV124" i="30"/>
  <c r="AU124" i="30"/>
  <c r="AT124" i="30"/>
  <c r="AS124" i="30"/>
  <c r="AR124" i="30"/>
  <c r="AQ124" i="30"/>
  <c r="AP124" i="30"/>
  <c r="AO124" i="30"/>
  <c r="AN124" i="30"/>
  <c r="AM124" i="30"/>
  <c r="AL124" i="30"/>
  <c r="AY124" i="30" s="1"/>
  <c r="W124" i="30"/>
  <c r="V124" i="30"/>
  <c r="S124" i="30"/>
  <c r="R124" i="30"/>
  <c r="Q124" i="30"/>
  <c r="P124" i="30"/>
  <c r="O124" i="30"/>
  <c r="N124" i="30"/>
  <c r="M124" i="30"/>
  <c r="L124" i="30"/>
  <c r="K124" i="30"/>
  <c r="J124" i="30"/>
  <c r="I124" i="30"/>
  <c r="H124" i="30"/>
  <c r="AY123" i="30"/>
  <c r="U123" i="30"/>
  <c r="AY122" i="30"/>
  <c r="U122" i="30"/>
  <c r="AY121" i="30"/>
  <c r="U121" i="30"/>
  <c r="AY120" i="30"/>
  <c r="U120" i="30"/>
  <c r="AY119" i="30"/>
  <c r="U119" i="30"/>
  <c r="AY118" i="30"/>
  <c r="U118" i="30"/>
  <c r="AY117" i="30"/>
  <c r="U117" i="30"/>
  <c r="AY116" i="30"/>
  <c r="AY115" i="30"/>
  <c r="U115" i="30"/>
  <c r="AY114" i="30"/>
  <c r="U114" i="30"/>
  <c r="AY113" i="30"/>
  <c r="U113" i="30"/>
  <c r="AY112" i="30"/>
  <c r="U112" i="30"/>
  <c r="AY111" i="30"/>
  <c r="AY110" i="30"/>
  <c r="U110" i="30"/>
  <c r="S110" i="30"/>
  <c r="AY109" i="30"/>
  <c r="U109" i="30"/>
  <c r="AY108" i="30"/>
  <c r="U108" i="30"/>
  <c r="AY107" i="30"/>
  <c r="U107" i="30"/>
  <c r="AY106" i="30"/>
  <c r="U106" i="30"/>
  <c r="AY105" i="30"/>
  <c r="U105" i="30"/>
  <c r="AY104" i="30"/>
  <c r="U104" i="30"/>
  <c r="AY103" i="30"/>
  <c r="U103" i="30"/>
  <c r="AY102" i="30"/>
  <c r="U102" i="30"/>
  <c r="AY101" i="30"/>
  <c r="U101" i="30"/>
  <c r="AY100" i="30"/>
  <c r="U100" i="30"/>
  <c r="AY99" i="30"/>
  <c r="U99" i="30"/>
  <c r="AY98" i="30"/>
  <c r="U98" i="30"/>
  <c r="AY97" i="30"/>
  <c r="U97" i="30"/>
  <c r="AY96" i="30"/>
  <c r="U96" i="30"/>
  <c r="AY95" i="30"/>
  <c r="U95" i="30"/>
  <c r="AY94" i="30"/>
  <c r="U94" i="30"/>
  <c r="AY93" i="30"/>
  <c r="U93" i="30"/>
  <c r="BA76" i="30"/>
  <c r="BA149" i="30" s="1"/>
  <c r="AZ76" i="30"/>
  <c r="AW76" i="30"/>
  <c r="AW149" i="30" s="1"/>
  <c r="AV76" i="30"/>
  <c r="AU76" i="30"/>
  <c r="AT76" i="30"/>
  <c r="AT149" i="30" s="1"/>
  <c r="AS76" i="30"/>
  <c r="AS149" i="30" s="1"/>
  <c r="AR76" i="30"/>
  <c r="AR149" i="30" s="1"/>
  <c r="AQ76" i="30"/>
  <c r="AQ149" i="30" s="1"/>
  <c r="AP76" i="30"/>
  <c r="AO76" i="30"/>
  <c r="AN76" i="30"/>
  <c r="AN149" i="30" s="1"/>
  <c r="AM76" i="30"/>
  <c r="AM149" i="30" s="1"/>
  <c r="AL76" i="30"/>
  <c r="W76" i="30"/>
  <c r="W149" i="30" s="1"/>
  <c r="V76" i="30"/>
  <c r="S76" i="30"/>
  <c r="S149" i="30" s="1"/>
  <c r="R76" i="30"/>
  <c r="Q76" i="30"/>
  <c r="Q149" i="30" s="1"/>
  <c r="P76" i="30"/>
  <c r="P149" i="30" s="1"/>
  <c r="O76" i="30"/>
  <c r="N76" i="30"/>
  <c r="M76" i="30"/>
  <c r="M149" i="30" s="1"/>
  <c r="L76" i="30"/>
  <c r="K76" i="30"/>
  <c r="K149" i="30" s="1"/>
  <c r="J76" i="30"/>
  <c r="J149" i="30" s="1"/>
  <c r="I76" i="30"/>
  <c r="H76" i="30"/>
  <c r="AY75" i="30"/>
  <c r="U75" i="30"/>
  <c r="AY74" i="30"/>
  <c r="U74" i="30"/>
  <c r="AL71" i="30"/>
  <c r="BA70" i="30"/>
  <c r="AZ70" i="30"/>
  <c r="AW70" i="30"/>
  <c r="AV70" i="30"/>
  <c r="AU70" i="30"/>
  <c r="AT70" i="30"/>
  <c r="AS70" i="30"/>
  <c r="AR70" i="30"/>
  <c r="AR71" i="30" s="1"/>
  <c r="AR179" i="30" s="1"/>
  <c r="AQ70" i="30"/>
  <c r="AP70" i="30"/>
  <c r="AO70" i="30"/>
  <c r="AN70" i="30"/>
  <c r="AM70" i="30"/>
  <c r="AL70" i="30"/>
  <c r="AY70" i="30" s="1"/>
  <c r="W70" i="30"/>
  <c r="V70" i="30"/>
  <c r="S70" i="30"/>
  <c r="R70" i="30"/>
  <c r="Q70" i="30"/>
  <c r="P70" i="30"/>
  <c r="O70" i="30"/>
  <c r="N70" i="30"/>
  <c r="M70" i="30"/>
  <c r="L70" i="30"/>
  <c r="K70" i="30"/>
  <c r="J70" i="30"/>
  <c r="I70" i="30"/>
  <c r="H70" i="30"/>
  <c r="U70" i="30" s="1"/>
  <c r="AY69" i="30"/>
  <c r="U69" i="30"/>
  <c r="AY68" i="30"/>
  <c r="AY67" i="30"/>
  <c r="U67" i="30"/>
  <c r="BA65" i="30"/>
  <c r="AZ65" i="30"/>
  <c r="AW65" i="30"/>
  <c r="AV65" i="30"/>
  <c r="AU65" i="30"/>
  <c r="AT65" i="30"/>
  <c r="AS65" i="30"/>
  <c r="AR65" i="30"/>
  <c r="AQ65" i="30"/>
  <c r="AP65" i="30"/>
  <c r="AO65" i="30"/>
  <c r="AN65" i="30"/>
  <c r="AM65" i="30"/>
  <c r="AL65" i="30"/>
  <c r="AY65" i="30" s="1"/>
  <c r="W65" i="30"/>
  <c r="V65" i="30"/>
  <c r="S65" i="30"/>
  <c r="R65" i="30"/>
  <c r="Q65" i="30"/>
  <c r="P65" i="30"/>
  <c r="O65" i="30"/>
  <c r="N65" i="30"/>
  <c r="M65" i="30"/>
  <c r="L65" i="30"/>
  <c r="K65" i="30"/>
  <c r="J65" i="30"/>
  <c r="I65" i="30"/>
  <c r="H65" i="30"/>
  <c r="AY64" i="30"/>
  <c r="U64" i="30"/>
  <c r="AY63" i="30"/>
  <c r="U63" i="30"/>
  <c r="AY62" i="30"/>
  <c r="U62" i="30"/>
  <c r="AZ60" i="30"/>
  <c r="AW60" i="30"/>
  <c r="AV60" i="30"/>
  <c r="AU60" i="30"/>
  <c r="AT60" i="30"/>
  <c r="AS60" i="30"/>
  <c r="AR60" i="30"/>
  <c r="AQ60" i="30"/>
  <c r="AP60" i="30"/>
  <c r="AO60" i="30"/>
  <c r="AN60" i="30"/>
  <c r="AM60" i="30"/>
  <c r="AL60" i="30"/>
  <c r="W60" i="30"/>
  <c r="V60" i="30"/>
  <c r="S60" i="30"/>
  <c r="R60" i="30"/>
  <c r="Q60" i="30"/>
  <c r="P60" i="30"/>
  <c r="O60" i="30"/>
  <c r="N60" i="30"/>
  <c r="M60" i="30"/>
  <c r="L60" i="30"/>
  <c r="K60" i="30"/>
  <c r="J60" i="30"/>
  <c r="I60" i="30"/>
  <c r="H60" i="30"/>
  <c r="U60" i="30" s="1"/>
  <c r="BA59" i="30"/>
  <c r="AY59" i="30"/>
  <c r="U59" i="30"/>
  <c r="BA58" i="30"/>
  <c r="BA60" i="30" s="1"/>
  <c r="AY58" i="30"/>
  <c r="U58" i="30"/>
  <c r="BA56" i="30"/>
  <c r="AZ56" i="30"/>
  <c r="AW56" i="30"/>
  <c r="AV56" i="30"/>
  <c r="AU56" i="30"/>
  <c r="AT56" i="30"/>
  <c r="AS56" i="30"/>
  <c r="AR56" i="30"/>
  <c r="AQ56" i="30"/>
  <c r="AP56" i="30"/>
  <c r="AO56" i="30"/>
  <c r="AN56" i="30"/>
  <c r="AM56" i="30"/>
  <c r="AL56" i="30"/>
  <c r="W56" i="30"/>
  <c r="V56" i="30"/>
  <c r="S56" i="30"/>
  <c r="R56" i="30"/>
  <c r="Q56" i="30"/>
  <c r="P56" i="30"/>
  <c r="O56" i="30"/>
  <c r="N56" i="30"/>
  <c r="M56" i="30"/>
  <c r="L56" i="30"/>
  <c r="K56" i="30"/>
  <c r="J56" i="30"/>
  <c r="I56" i="30"/>
  <c r="H56" i="30"/>
  <c r="U56" i="30" s="1"/>
  <c r="AY55" i="30"/>
  <c r="U55" i="30"/>
  <c r="AY54" i="30"/>
  <c r="U54" i="30"/>
  <c r="W52" i="30"/>
  <c r="V52" i="30"/>
  <c r="S52" i="30"/>
  <c r="R52" i="30"/>
  <c r="R71" i="30" s="1"/>
  <c r="Q52" i="30"/>
  <c r="Q71" i="30" s="1"/>
  <c r="Q175" i="30" s="1"/>
  <c r="P52" i="30"/>
  <c r="O52" i="30"/>
  <c r="N52" i="30"/>
  <c r="M52" i="30"/>
  <c r="L52" i="30"/>
  <c r="L71" i="30" s="1"/>
  <c r="K52" i="30"/>
  <c r="K71" i="30" s="1"/>
  <c r="K175" i="30" s="1"/>
  <c r="J52" i="30"/>
  <c r="I52" i="30"/>
  <c r="H52" i="30"/>
  <c r="U51" i="30"/>
  <c r="BA50" i="30"/>
  <c r="BA71" i="30" s="1"/>
  <c r="AZ50" i="30"/>
  <c r="AZ71" i="30" s="1"/>
  <c r="AW50" i="30"/>
  <c r="AV50" i="30"/>
  <c r="AV71" i="30" s="1"/>
  <c r="AU50" i="30"/>
  <c r="AU71" i="30" s="1"/>
  <c r="AT50" i="30"/>
  <c r="AT71" i="30" s="1"/>
  <c r="AS50" i="30"/>
  <c r="AS71" i="30" s="1"/>
  <c r="AR50" i="30"/>
  <c r="AQ50" i="30"/>
  <c r="AP50" i="30"/>
  <c r="AP71" i="30" s="1"/>
  <c r="AO50" i="30"/>
  <c r="AO71" i="30" s="1"/>
  <c r="AN50" i="30"/>
  <c r="AN71" i="30" s="1"/>
  <c r="AM50" i="30"/>
  <c r="AM71" i="30" s="1"/>
  <c r="AL50" i="30"/>
  <c r="AY50" i="30" s="1"/>
  <c r="AY47" i="30"/>
  <c r="W47" i="30"/>
  <c r="V47" i="30"/>
  <c r="V71" i="30" s="1"/>
  <c r="S47" i="30"/>
  <c r="S71" i="30" s="1"/>
  <c r="S175" i="30" s="1"/>
  <c r="R47" i="30"/>
  <c r="Q47" i="30"/>
  <c r="P47" i="30"/>
  <c r="O47" i="30"/>
  <c r="O71" i="30" s="1"/>
  <c r="N47" i="30"/>
  <c r="N71" i="30" s="1"/>
  <c r="M47" i="30"/>
  <c r="M71" i="30" s="1"/>
  <c r="M175" i="30" s="1"/>
  <c r="L47" i="30"/>
  <c r="K47" i="30"/>
  <c r="J47" i="30"/>
  <c r="I47" i="30"/>
  <c r="I71" i="30" s="1"/>
  <c r="H47" i="30"/>
  <c r="H71" i="30" s="1"/>
  <c r="AY46" i="30"/>
  <c r="U46" i="30"/>
  <c r="AY45" i="30"/>
  <c r="U45" i="30"/>
  <c r="AY44" i="30"/>
  <c r="U44" i="30"/>
  <c r="AY43" i="30"/>
  <c r="U43" i="30"/>
  <c r="AV39" i="30"/>
  <c r="I39" i="30"/>
  <c r="BA38" i="30"/>
  <c r="AZ38" i="30"/>
  <c r="AW38" i="30"/>
  <c r="AV38" i="30"/>
  <c r="AU38" i="30"/>
  <c r="AT38" i="30"/>
  <c r="AS38" i="30"/>
  <c r="AR38" i="30"/>
  <c r="AQ38" i="30"/>
  <c r="AP38" i="30"/>
  <c r="AO38" i="30"/>
  <c r="AN38" i="30"/>
  <c r="AM38" i="30"/>
  <c r="AL38" i="30"/>
  <c r="AY38" i="30" s="1"/>
  <c r="W38" i="30"/>
  <c r="V38" i="30"/>
  <c r="S38" i="30"/>
  <c r="R38" i="30"/>
  <c r="Q38" i="30"/>
  <c r="P38" i="30"/>
  <c r="O38" i="30"/>
  <c r="N38" i="30"/>
  <c r="M38" i="30"/>
  <c r="L38" i="30"/>
  <c r="K38" i="30"/>
  <c r="J38" i="30"/>
  <c r="I38" i="30"/>
  <c r="H38" i="30"/>
  <c r="U38" i="30" s="1"/>
  <c r="AY37" i="30"/>
  <c r="U37" i="30"/>
  <c r="BA34" i="30"/>
  <c r="AZ34" i="30"/>
  <c r="AW34" i="30"/>
  <c r="AV34" i="30"/>
  <c r="AU34" i="30"/>
  <c r="AT34" i="30"/>
  <c r="AS34" i="30"/>
  <c r="AR34" i="30"/>
  <c r="AR35" i="30" s="1"/>
  <c r="AR39" i="30" s="1"/>
  <c r="AR180" i="30" s="1"/>
  <c r="AR187" i="30" s="1"/>
  <c r="AQ34" i="30"/>
  <c r="AP34" i="30"/>
  <c r="AO34" i="30"/>
  <c r="AN34" i="30"/>
  <c r="AM34" i="30"/>
  <c r="AL34" i="30"/>
  <c r="AL35" i="30" s="1"/>
  <c r="V34" i="30"/>
  <c r="R34" i="30"/>
  <c r="Q34" i="30"/>
  <c r="Q35" i="30" s="1"/>
  <c r="Q39" i="30" s="1"/>
  <c r="Q176" i="30" s="1"/>
  <c r="Q184" i="30" s="1"/>
  <c r="P34" i="30"/>
  <c r="O34" i="30"/>
  <c r="N34" i="30"/>
  <c r="M34" i="30"/>
  <c r="L34" i="30"/>
  <c r="K34" i="30"/>
  <c r="K35" i="30" s="1"/>
  <c r="K39" i="30" s="1"/>
  <c r="K176" i="30" s="1"/>
  <c r="K184" i="30" s="1"/>
  <c r="J34" i="30"/>
  <c r="I34" i="30"/>
  <c r="H34" i="30"/>
  <c r="U34" i="30" s="1"/>
  <c r="AY33" i="30"/>
  <c r="U33" i="30"/>
  <c r="AY32" i="30"/>
  <c r="U32" i="30"/>
  <c r="AY31" i="30"/>
  <c r="U31" i="30"/>
  <c r="AY30" i="30"/>
  <c r="U30" i="30"/>
  <c r="AY29" i="30"/>
  <c r="U29" i="30"/>
  <c r="AY28" i="30"/>
  <c r="W28" i="30"/>
  <c r="S28" i="30"/>
  <c r="U28" i="30" s="1"/>
  <c r="AY27" i="30"/>
  <c r="W27" i="30"/>
  <c r="S27" i="30"/>
  <c r="U27" i="30" s="1"/>
  <c r="AY26" i="30"/>
  <c r="U26" i="30"/>
  <c r="AY25" i="30"/>
  <c r="U25" i="30"/>
  <c r="AY24" i="30"/>
  <c r="W24" i="30"/>
  <c r="W34" i="30" s="1"/>
  <c r="S24" i="30"/>
  <c r="S34" i="30" s="1"/>
  <c r="BA22" i="30"/>
  <c r="AZ22" i="30"/>
  <c r="AW22" i="30"/>
  <c r="AV22" i="30"/>
  <c r="AU22" i="30"/>
  <c r="AT22" i="30"/>
  <c r="AS22" i="30"/>
  <c r="AR22" i="30"/>
  <c r="AQ22" i="30"/>
  <c r="AP22" i="30"/>
  <c r="AO22" i="30"/>
  <c r="AN22" i="30"/>
  <c r="AM22" i="30"/>
  <c r="AL22" i="30"/>
  <c r="V22" i="30"/>
  <c r="S22" i="30"/>
  <c r="R22" i="30"/>
  <c r="Q22" i="30"/>
  <c r="P22" i="30"/>
  <c r="O22" i="30"/>
  <c r="N22" i="30"/>
  <c r="M22" i="30"/>
  <c r="L22" i="30"/>
  <c r="K22" i="30"/>
  <c r="J22" i="30"/>
  <c r="I22" i="30"/>
  <c r="H22" i="30"/>
  <c r="AY21" i="30"/>
  <c r="U21" i="30"/>
  <c r="AY20" i="30"/>
  <c r="U20" i="30"/>
  <c r="AY19" i="30"/>
  <c r="U19" i="30"/>
  <c r="AY18" i="30"/>
  <c r="W18" i="30"/>
  <c r="W22" i="30" s="1"/>
  <c r="U18" i="30"/>
  <c r="AY17" i="30"/>
  <c r="U17" i="30"/>
  <c r="BA15" i="30"/>
  <c r="AZ15" i="30"/>
  <c r="AZ35" i="30" s="1"/>
  <c r="AZ39" i="30" s="1"/>
  <c r="AW15" i="30"/>
  <c r="AW35" i="30" s="1"/>
  <c r="AW39" i="30" s="1"/>
  <c r="AV15" i="30"/>
  <c r="AV35" i="30" s="1"/>
  <c r="AU15" i="30"/>
  <c r="AU35" i="30" s="1"/>
  <c r="AU39" i="30" s="1"/>
  <c r="AT15" i="30"/>
  <c r="AS15" i="30"/>
  <c r="AS35" i="30" s="1"/>
  <c r="AS39" i="30" s="1"/>
  <c r="AR15" i="30"/>
  <c r="AQ15" i="30"/>
  <c r="AQ35" i="30" s="1"/>
  <c r="AQ39" i="30" s="1"/>
  <c r="AP15" i="30"/>
  <c r="AP35" i="30" s="1"/>
  <c r="AP39" i="30" s="1"/>
  <c r="AO15" i="30"/>
  <c r="AO35" i="30" s="1"/>
  <c r="AO39" i="30" s="1"/>
  <c r="AN15" i="30"/>
  <c r="AM15" i="30"/>
  <c r="AM35" i="30" s="1"/>
  <c r="AM39" i="30" s="1"/>
  <c r="AL15" i="30"/>
  <c r="AY15" i="30" s="1"/>
  <c r="V15" i="30"/>
  <c r="V35" i="30" s="1"/>
  <c r="V39" i="30" s="1"/>
  <c r="S15" i="30"/>
  <c r="S35" i="30" s="1"/>
  <c r="S39" i="30" s="1"/>
  <c r="R15" i="30"/>
  <c r="R35" i="30" s="1"/>
  <c r="R39" i="30" s="1"/>
  <c r="Q15" i="30"/>
  <c r="P15" i="30"/>
  <c r="P35" i="30" s="1"/>
  <c r="P39" i="30" s="1"/>
  <c r="O15" i="30"/>
  <c r="O35" i="30" s="1"/>
  <c r="O39" i="30" s="1"/>
  <c r="N15" i="30"/>
  <c r="N35" i="30" s="1"/>
  <c r="N39" i="30" s="1"/>
  <c r="M15" i="30"/>
  <c r="M35" i="30" s="1"/>
  <c r="M39" i="30" s="1"/>
  <c r="L15" i="30"/>
  <c r="L35" i="30" s="1"/>
  <c r="L39" i="30" s="1"/>
  <c r="K15" i="30"/>
  <c r="J15" i="30"/>
  <c r="J35" i="30" s="1"/>
  <c r="J39" i="30" s="1"/>
  <c r="I15" i="30"/>
  <c r="I35" i="30" s="1"/>
  <c r="H15" i="30"/>
  <c r="H35" i="30" s="1"/>
  <c r="AY14" i="30"/>
  <c r="U14" i="30"/>
  <c r="AY13" i="30"/>
  <c r="U13" i="30"/>
  <c r="AY12" i="30"/>
  <c r="U12" i="30"/>
  <c r="AY11" i="30"/>
  <c r="U11" i="30"/>
  <c r="AY10" i="30"/>
  <c r="U10" i="30"/>
  <c r="AY9" i="30"/>
  <c r="U9" i="30"/>
  <c r="AY8" i="30"/>
  <c r="U8" i="30"/>
  <c r="U7" i="30"/>
  <c r="AY6" i="30"/>
  <c r="U6" i="30"/>
  <c r="AY5" i="30"/>
  <c r="W5" i="30"/>
  <c r="W15" i="30" s="1"/>
  <c r="U5" i="30"/>
  <c r="W174" i="29"/>
  <c r="W28" i="29"/>
  <c r="W27" i="29"/>
  <c r="W24" i="29"/>
  <c r="W172" i="29" s="1"/>
  <c r="L137" i="29"/>
  <c r="U137" i="29" s="1"/>
  <c r="S110" i="29"/>
  <c r="S27" i="29"/>
  <c r="S28" i="29"/>
  <c r="S34" i="29" s="1"/>
  <c r="S24" i="29"/>
  <c r="U24" i="29" s="1"/>
  <c r="W18" i="29"/>
  <c r="W5" i="29"/>
  <c r="AW186" i="29"/>
  <c r="AQ186" i="29"/>
  <c r="BA185" i="29"/>
  <c r="BA186" i="29" s="1"/>
  <c r="AZ185" i="29"/>
  <c r="AZ186" i="29" s="1"/>
  <c r="AW185" i="29"/>
  <c r="AV185" i="29"/>
  <c r="AV186" i="29" s="1"/>
  <c r="AU185" i="29"/>
  <c r="AU186" i="29" s="1"/>
  <c r="AT185" i="29"/>
  <c r="AT186" i="29" s="1"/>
  <c r="AS185" i="29"/>
  <c r="AS186" i="29" s="1"/>
  <c r="AR185" i="29"/>
  <c r="AR186" i="29" s="1"/>
  <c r="AQ185" i="29"/>
  <c r="AP185" i="29"/>
  <c r="AP186" i="29" s="1"/>
  <c r="AO185" i="29"/>
  <c r="AO186" i="29" s="1"/>
  <c r="AN185" i="29"/>
  <c r="AN186" i="29" s="1"/>
  <c r="AM185" i="29"/>
  <c r="AM186" i="29" s="1"/>
  <c r="AL185" i="29"/>
  <c r="AY185" i="29" s="1"/>
  <c r="AY184" i="29"/>
  <c r="AY183" i="29"/>
  <c r="L183" i="29"/>
  <c r="W182" i="29"/>
  <c r="W183" i="29" s="1"/>
  <c r="V182" i="29"/>
  <c r="V183" i="29" s="1"/>
  <c r="S182" i="29"/>
  <c r="S183" i="29" s="1"/>
  <c r="R182" i="29"/>
  <c r="R183" i="29" s="1"/>
  <c r="Q182" i="29"/>
  <c r="Q183" i="29" s="1"/>
  <c r="P182" i="29"/>
  <c r="P183" i="29" s="1"/>
  <c r="O182" i="29"/>
  <c r="O183" i="29" s="1"/>
  <c r="N182" i="29"/>
  <c r="N183" i="29" s="1"/>
  <c r="M182" i="29"/>
  <c r="M183" i="29" s="1"/>
  <c r="L182" i="29"/>
  <c r="K182" i="29"/>
  <c r="K183" i="29" s="1"/>
  <c r="J182" i="29"/>
  <c r="J183" i="29" s="1"/>
  <c r="I182" i="29"/>
  <c r="I183" i="29" s="1"/>
  <c r="H182" i="29"/>
  <c r="U181" i="29"/>
  <c r="U180" i="29"/>
  <c r="AX179" i="29"/>
  <c r="U179" i="29"/>
  <c r="BA177" i="29"/>
  <c r="BA170" i="29"/>
  <c r="AZ170" i="29"/>
  <c r="AW170" i="29"/>
  <c r="AV170" i="29"/>
  <c r="AU170" i="29"/>
  <c r="AT170" i="29"/>
  <c r="AS170" i="29"/>
  <c r="AR170" i="29"/>
  <c r="AQ170" i="29"/>
  <c r="AP170" i="29"/>
  <c r="AO170" i="29"/>
  <c r="AN170" i="29"/>
  <c r="AM170" i="29"/>
  <c r="AL170" i="29"/>
  <c r="AY170" i="29" s="1"/>
  <c r="W170" i="29"/>
  <c r="V170" i="29"/>
  <c r="S170" i="29"/>
  <c r="R170" i="29"/>
  <c r="Q170" i="29"/>
  <c r="P170" i="29"/>
  <c r="O170" i="29"/>
  <c r="N170" i="29"/>
  <c r="M170" i="29"/>
  <c r="L170" i="29"/>
  <c r="K170" i="29"/>
  <c r="J170" i="29"/>
  <c r="I170" i="29"/>
  <c r="H170" i="29"/>
  <c r="U170" i="29" s="1"/>
  <c r="AY169" i="29"/>
  <c r="U169" i="29"/>
  <c r="AY168" i="29"/>
  <c r="AY167" i="29"/>
  <c r="BA165" i="29"/>
  <c r="AZ165" i="29"/>
  <c r="AW165" i="29"/>
  <c r="AV165" i="29"/>
  <c r="AU165" i="29"/>
  <c r="AT165" i="29"/>
  <c r="AS165" i="29"/>
  <c r="AR165" i="29"/>
  <c r="AQ165" i="29"/>
  <c r="AP165" i="29"/>
  <c r="AO165" i="29"/>
  <c r="AN165" i="29"/>
  <c r="AM165" i="29"/>
  <c r="AL165" i="29"/>
  <c r="AY165" i="29" s="1"/>
  <c r="W165" i="29"/>
  <c r="V165" i="29"/>
  <c r="S165" i="29"/>
  <c r="R165" i="29"/>
  <c r="Q165" i="29"/>
  <c r="P165" i="29"/>
  <c r="O165" i="29"/>
  <c r="N165" i="29"/>
  <c r="M165" i="29"/>
  <c r="L165" i="29"/>
  <c r="K165" i="29"/>
  <c r="J165" i="29"/>
  <c r="I165" i="29"/>
  <c r="H165" i="29"/>
  <c r="AY164" i="29"/>
  <c r="U164" i="29"/>
  <c r="BA162" i="29"/>
  <c r="BA171" i="29" s="1"/>
  <c r="AZ162" i="29"/>
  <c r="AZ171" i="29" s="1"/>
  <c r="AW162" i="29"/>
  <c r="AW171" i="29" s="1"/>
  <c r="AV162" i="29"/>
  <c r="AV171" i="29" s="1"/>
  <c r="AU162" i="29"/>
  <c r="AU171" i="29" s="1"/>
  <c r="AT162" i="29"/>
  <c r="AT171" i="29" s="1"/>
  <c r="AS162" i="29"/>
  <c r="AS171" i="29" s="1"/>
  <c r="AR162" i="29"/>
  <c r="AR171" i="29" s="1"/>
  <c r="AQ162" i="29"/>
  <c r="AQ171" i="29" s="1"/>
  <c r="AP162" i="29"/>
  <c r="AP171" i="29" s="1"/>
  <c r="AO162" i="29"/>
  <c r="AO171" i="29" s="1"/>
  <c r="AN162" i="29"/>
  <c r="AN171" i="29" s="1"/>
  <c r="AM162" i="29"/>
  <c r="AM171" i="29" s="1"/>
  <c r="AL162" i="29"/>
  <c r="AL171" i="29" s="1"/>
  <c r="AY171" i="29" s="1"/>
  <c r="W162" i="29"/>
  <c r="W171" i="29" s="1"/>
  <c r="V162" i="29"/>
  <c r="V171" i="29" s="1"/>
  <c r="S162" i="29"/>
  <c r="S171" i="29" s="1"/>
  <c r="R162" i="29"/>
  <c r="R171" i="29" s="1"/>
  <c r="Q162" i="29"/>
  <c r="Q171" i="29" s="1"/>
  <c r="P162" i="29"/>
  <c r="P171" i="29" s="1"/>
  <c r="O162" i="29"/>
  <c r="O171" i="29" s="1"/>
  <c r="N162" i="29"/>
  <c r="N171" i="29" s="1"/>
  <c r="M162" i="29"/>
  <c r="M171" i="29" s="1"/>
  <c r="L162" i="29"/>
  <c r="L171" i="29" s="1"/>
  <c r="K162" i="29"/>
  <c r="K171" i="29" s="1"/>
  <c r="J162" i="29"/>
  <c r="J171" i="29" s="1"/>
  <c r="I162" i="29"/>
  <c r="I171" i="29" s="1"/>
  <c r="H162" i="29"/>
  <c r="H171" i="29" s="1"/>
  <c r="AY161" i="29"/>
  <c r="AY160" i="29"/>
  <c r="AY159" i="29"/>
  <c r="U159" i="29"/>
  <c r="AY158" i="29"/>
  <c r="AV155" i="29"/>
  <c r="AP155" i="29"/>
  <c r="V155" i="29"/>
  <c r="O155" i="29"/>
  <c r="I155" i="29"/>
  <c r="AY154" i="29"/>
  <c r="U154" i="29"/>
  <c r="BA153" i="29"/>
  <c r="BA155" i="29" s="1"/>
  <c r="AZ153" i="29"/>
  <c r="AZ155" i="29" s="1"/>
  <c r="AW153" i="29"/>
  <c r="AW155" i="29" s="1"/>
  <c r="AV153" i="29"/>
  <c r="AU153" i="29"/>
  <c r="AU155" i="29" s="1"/>
  <c r="AT153" i="29"/>
  <c r="AT155" i="29" s="1"/>
  <c r="AS153" i="29"/>
  <c r="AS155" i="29" s="1"/>
  <c r="AR153" i="29"/>
  <c r="AR155" i="29" s="1"/>
  <c r="AQ153" i="29"/>
  <c r="AQ155" i="29" s="1"/>
  <c r="AP153" i="29"/>
  <c r="AO153" i="29"/>
  <c r="AO155" i="29" s="1"/>
  <c r="AN153" i="29"/>
  <c r="AN155" i="29" s="1"/>
  <c r="AM153" i="29"/>
  <c r="AM155" i="29" s="1"/>
  <c r="AL153" i="29"/>
  <c r="AY153" i="29" s="1"/>
  <c r="W153" i="29"/>
  <c r="W155" i="29" s="1"/>
  <c r="V153" i="29"/>
  <c r="S153" i="29"/>
  <c r="S155" i="29" s="1"/>
  <c r="R153" i="29"/>
  <c r="R155" i="29" s="1"/>
  <c r="Q153" i="29"/>
  <c r="Q155" i="29" s="1"/>
  <c r="P153" i="29"/>
  <c r="P155" i="29" s="1"/>
  <c r="O153" i="29"/>
  <c r="N153" i="29"/>
  <c r="N155" i="29" s="1"/>
  <c r="M153" i="29"/>
  <c r="M155" i="29" s="1"/>
  <c r="L153" i="29"/>
  <c r="L155" i="29" s="1"/>
  <c r="K153" i="29"/>
  <c r="K155" i="29" s="1"/>
  <c r="J153" i="29"/>
  <c r="J155" i="29" s="1"/>
  <c r="I153" i="29"/>
  <c r="H153" i="29"/>
  <c r="H155" i="29" s="1"/>
  <c r="AY152" i="29"/>
  <c r="U152" i="29"/>
  <c r="BA148" i="29"/>
  <c r="BA149" i="29" s="1"/>
  <c r="AZ148" i="29"/>
  <c r="AW148" i="29"/>
  <c r="AV148" i="29"/>
  <c r="AU148" i="29"/>
  <c r="AT148" i="29"/>
  <c r="AT149" i="29" s="1"/>
  <c r="AS148" i="29"/>
  <c r="AR148" i="29"/>
  <c r="AQ148" i="29"/>
  <c r="AP148" i="29"/>
  <c r="AO148" i="29"/>
  <c r="AN148" i="29"/>
  <c r="AN149" i="29" s="1"/>
  <c r="AM148" i="29"/>
  <c r="AL148" i="29"/>
  <c r="AY148" i="29" s="1"/>
  <c r="W148" i="29"/>
  <c r="V148" i="29"/>
  <c r="S148" i="29"/>
  <c r="R148" i="29"/>
  <c r="Q148" i="29"/>
  <c r="P148" i="29"/>
  <c r="O148" i="29"/>
  <c r="N148" i="29"/>
  <c r="M148" i="29"/>
  <c r="M149" i="29" s="1"/>
  <c r="L148" i="29"/>
  <c r="K148" i="29"/>
  <c r="J148" i="29"/>
  <c r="I148" i="29"/>
  <c r="H148" i="29"/>
  <c r="AY147" i="29"/>
  <c r="U147" i="29"/>
  <c r="AY146" i="29"/>
  <c r="U146" i="29"/>
  <c r="AY145" i="29"/>
  <c r="U145" i="29"/>
  <c r="AY144" i="29"/>
  <c r="U144" i="29"/>
  <c r="AY143" i="29"/>
  <c r="AY142" i="29"/>
  <c r="U142" i="29"/>
  <c r="AY141" i="29"/>
  <c r="U141" i="29"/>
  <c r="AY140" i="29"/>
  <c r="U140" i="29"/>
  <c r="AY139" i="29"/>
  <c r="U139" i="29"/>
  <c r="AY138" i="29"/>
  <c r="U138" i="29"/>
  <c r="AY137" i="29"/>
  <c r="BA124" i="29"/>
  <c r="AZ124" i="29"/>
  <c r="AW124" i="29"/>
  <c r="AV124" i="29"/>
  <c r="AU124" i="29"/>
  <c r="AT124" i="29"/>
  <c r="AS124" i="29"/>
  <c r="AR124" i="29"/>
  <c r="AQ124" i="29"/>
  <c r="AP124" i="29"/>
  <c r="AO124" i="29"/>
  <c r="AN124" i="29"/>
  <c r="AM124" i="29"/>
  <c r="AL124" i="29"/>
  <c r="AY124" i="29" s="1"/>
  <c r="W124" i="29"/>
  <c r="V124" i="29"/>
  <c r="S124" i="29"/>
  <c r="R124" i="29"/>
  <c r="Q124" i="29"/>
  <c r="P124" i="29"/>
  <c r="O124" i="29"/>
  <c r="N124" i="29"/>
  <c r="M124" i="29"/>
  <c r="L124" i="29"/>
  <c r="K124" i="29"/>
  <c r="J124" i="29"/>
  <c r="I124" i="29"/>
  <c r="H124" i="29"/>
  <c r="AY123" i="29"/>
  <c r="U123" i="29"/>
  <c r="AY122" i="29"/>
  <c r="U122" i="29"/>
  <c r="AY121" i="29"/>
  <c r="U121" i="29"/>
  <c r="AY120" i="29"/>
  <c r="U120" i="29"/>
  <c r="AY119" i="29"/>
  <c r="U119" i="29"/>
  <c r="AY118" i="29"/>
  <c r="U118" i="29"/>
  <c r="AY117" i="29"/>
  <c r="U117" i="29"/>
  <c r="AY116" i="29"/>
  <c r="AY115" i="29"/>
  <c r="U115" i="29"/>
  <c r="AY114" i="29"/>
  <c r="U114" i="29"/>
  <c r="AY113" i="29"/>
  <c r="U113" i="29"/>
  <c r="AY112" i="29"/>
  <c r="U112" i="29"/>
  <c r="AY111" i="29"/>
  <c r="AY110" i="29"/>
  <c r="U110" i="29"/>
  <c r="AY109" i="29"/>
  <c r="U109" i="29"/>
  <c r="AY108" i="29"/>
  <c r="U108" i="29"/>
  <c r="AY107" i="29"/>
  <c r="U107" i="29"/>
  <c r="AY106" i="29"/>
  <c r="U106" i="29"/>
  <c r="AY105" i="29"/>
  <c r="U105" i="29"/>
  <c r="AY104" i="29"/>
  <c r="U104" i="29"/>
  <c r="AY103" i="29"/>
  <c r="U103" i="29"/>
  <c r="AY102" i="29"/>
  <c r="U102" i="29"/>
  <c r="AY101" i="29"/>
  <c r="U101" i="29"/>
  <c r="AY100" i="29"/>
  <c r="U100" i="29"/>
  <c r="AY99" i="29"/>
  <c r="U99" i="29"/>
  <c r="AY98" i="29"/>
  <c r="U98" i="29"/>
  <c r="AY97" i="29"/>
  <c r="U97" i="29"/>
  <c r="AY96" i="29"/>
  <c r="U96" i="29"/>
  <c r="AY95" i="29"/>
  <c r="U95" i="29"/>
  <c r="AY94" i="29"/>
  <c r="U94" i="29"/>
  <c r="AY93" i="29"/>
  <c r="U93" i="29"/>
  <c r="BA76" i="29"/>
  <c r="AZ76" i="29"/>
  <c r="AZ149" i="29" s="1"/>
  <c r="AW76" i="29"/>
  <c r="AW149" i="29" s="1"/>
  <c r="AV76" i="29"/>
  <c r="AV149" i="29" s="1"/>
  <c r="AU76" i="29"/>
  <c r="AU149" i="29" s="1"/>
  <c r="AT76" i="29"/>
  <c r="AS76" i="29"/>
  <c r="AS149" i="29" s="1"/>
  <c r="AR76" i="29"/>
  <c r="AR149" i="29" s="1"/>
  <c r="AQ76" i="29"/>
  <c r="AQ149" i="29" s="1"/>
  <c r="AP76" i="29"/>
  <c r="AP149" i="29" s="1"/>
  <c r="AO76" i="29"/>
  <c r="AO149" i="29" s="1"/>
  <c r="AN76" i="29"/>
  <c r="AM76" i="29"/>
  <c r="AM149" i="29" s="1"/>
  <c r="AL76" i="29"/>
  <c r="AL149" i="29" s="1"/>
  <c r="W76" i="29"/>
  <c r="V76" i="29"/>
  <c r="V149" i="29" s="1"/>
  <c r="S76" i="29"/>
  <c r="R76" i="29"/>
  <c r="Q76" i="29"/>
  <c r="P76" i="29"/>
  <c r="P149" i="29" s="1"/>
  <c r="O76" i="29"/>
  <c r="O149" i="29" s="1"/>
  <c r="N76" i="29"/>
  <c r="N149" i="29" s="1"/>
  <c r="M76" i="29"/>
  <c r="L76" i="29"/>
  <c r="K76" i="29"/>
  <c r="K149" i="29" s="1"/>
  <c r="J76" i="29"/>
  <c r="J149" i="29" s="1"/>
  <c r="I76" i="29"/>
  <c r="I149" i="29" s="1"/>
  <c r="H76" i="29"/>
  <c r="U76" i="29" s="1"/>
  <c r="AY75" i="29"/>
  <c r="U75" i="29"/>
  <c r="AY74" i="29"/>
  <c r="U74" i="29"/>
  <c r="BA70" i="29"/>
  <c r="AZ70" i="29"/>
  <c r="AW70" i="29"/>
  <c r="AV70" i="29"/>
  <c r="AU70" i="29"/>
  <c r="AU71" i="29" s="1"/>
  <c r="AT70" i="29"/>
  <c r="AS70" i="29"/>
  <c r="AR70" i="29"/>
  <c r="AQ70" i="29"/>
  <c r="AP70" i="29"/>
  <c r="AO70" i="29"/>
  <c r="AO71" i="29" s="1"/>
  <c r="AN70" i="29"/>
  <c r="AM70" i="29"/>
  <c r="AL70" i="29"/>
  <c r="AY70" i="29" s="1"/>
  <c r="W70" i="29"/>
  <c r="V70" i="29"/>
  <c r="S70" i="29"/>
  <c r="R70" i="29"/>
  <c r="Q70" i="29"/>
  <c r="P70" i="29"/>
  <c r="O70" i="29"/>
  <c r="N70" i="29"/>
  <c r="M70" i="29"/>
  <c r="L70" i="29"/>
  <c r="K70" i="29"/>
  <c r="J70" i="29"/>
  <c r="I70" i="29"/>
  <c r="H70" i="29"/>
  <c r="AY69" i="29"/>
  <c r="U69" i="29"/>
  <c r="AY68" i="29"/>
  <c r="AY67" i="29"/>
  <c r="U67" i="29"/>
  <c r="BA65" i="29"/>
  <c r="AZ65" i="29"/>
  <c r="AW65" i="29"/>
  <c r="AV65" i="29"/>
  <c r="AU65" i="29"/>
  <c r="AT65" i="29"/>
  <c r="AS65" i="29"/>
  <c r="AR65" i="29"/>
  <c r="AQ65" i="29"/>
  <c r="AP65" i="29"/>
  <c r="AO65" i="29"/>
  <c r="AN65" i="29"/>
  <c r="AM65" i="29"/>
  <c r="AL65" i="29"/>
  <c r="AY65" i="29" s="1"/>
  <c r="W65" i="29"/>
  <c r="V65" i="29"/>
  <c r="S65" i="29"/>
  <c r="R65" i="29"/>
  <c r="Q65" i="29"/>
  <c r="P65" i="29"/>
  <c r="O65" i="29"/>
  <c r="N65" i="29"/>
  <c r="M65" i="29"/>
  <c r="L65" i="29"/>
  <c r="K65" i="29"/>
  <c r="J65" i="29"/>
  <c r="I65" i="29"/>
  <c r="H65" i="29"/>
  <c r="AY64" i="29"/>
  <c r="U64" i="29"/>
  <c r="AY63" i="29"/>
  <c r="U63" i="29"/>
  <c r="AY62" i="29"/>
  <c r="U62" i="29"/>
  <c r="AZ60" i="29"/>
  <c r="AW60" i="29"/>
  <c r="AV60" i="29"/>
  <c r="AU60" i="29"/>
  <c r="AT60" i="29"/>
  <c r="AS60" i="29"/>
  <c r="AR60" i="29"/>
  <c r="AQ60" i="29"/>
  <c r="AP60" i="29"/>
  <c r="AO60" i="29"/>
  <c r="AN60" i="29"/>
  <c r="AM60" i="29"/>
  <c r="AL60" i="29"/>
  <c r="AY60" i="29" s="1"/>
  <c r="W60" i="29"/>
  <c r="V60" i="29"/>
  <c r="S60" i="29"/>
  <c r="R60" i="29"/>
  <c r="Q60" i="29"/>
  <c r="P60" i="29"/>
  <c r="O60" i="29"/>
  <c r="N60" i="29"/>
  <c r="M60" i="29"/>
  <c r="L60" i="29"/>
  <c r="K60" i="29"/>
  <c r="J60" i="29"/>
  <c r="I60" i="29"/>
  <c r="H60" i="29"/>
  <c r="BA59" i="29"/>
  <c r="BA60" i="29" s="1"/>
  <c r="AY59" i="29"/>
  <c r="U59" i="29"/>
  <c r="BA58" i="29"/>
  <c r="AY58" i="29"/>
  <c r="U58" i="29"/>
  <c r="BA56" i="29"/>
  <c r="AZ56" i="29"/>
  <c r="AW56" i="29"/>
  <c r="AV56" i="29"/>
  <c r="AU56" i="29"/>
  <c r="AT56" i="29"/>
  <c r="AS56" i="29"/>
  <c r="AR56" i="29"/>
  <c r="AQ56" i="29"/>
  <c r="AP56" i="29"/>
  <c r="AO56" i="29"/>
  <c r="AN56" i="29"/>
  <c r="AM56" i="29"/>
  <c r="AL56" i="29"/>
  <c r="AY56" i="29" s="1"/>
  <c r="W56" i="29"/>
  <c r="V56" i="29"/>
  <c r="S56" i="29"/>
  <c r="R56" i="29"/>
  <c r="Q56" i="29"/>
  <c r="P56" i="29"/>
  <c r="O56" i="29"/>
  <c r="N56" i="29"/>
  <c r="M56" i="29"/>
  <c r="L56" i="29"/>
  <c r="K56" i="29"/>
  <c r="J56" i="29"/>
  <c r="I56" i="29"/>
  <c r="H56" i="29"/>
  <c r="U56" i="29" s="1"/>
  <c r="AY55" i="29"/>
  <c r="U55" i="29"/>
  <c r="AY54" i="29"/>
  <c r="U54" i="29"/>
  <c r="W52" i="29"/>
  <c r="V52" i="29"/>
  <c r="S52" i="29"/>
  <c r="R52" i="29"/>
  <c r="Q52" i="29"/>
  <c r="P52" i="29"/>
  <c r="O52" i="29"/>
  <c r="N52" i="29"/>
  <c r="N71" i="29" s="1"/>
  <c r="N175" i="29" s="1"/>
  <c r="M52" i="29"/>
  <c r="L52" i="29"/>
  <c r="K52" i="29"/>
  <c r="J52" i="29"/>
  <c r="I52" i="29"/>
  <c r="H52" i="29"/>
  <c r="H71" i="29" s="1"/>
  <c r="U51" i="29"/>
  <c r="BA50" i="29"/>
  <c r="BA71" i="29" s="1"/>
  <c r="BA179" i="29" s="1"/>
  <c r="AZ50" i="29"/>
  <c r="AZ71" i="29" s="1"/>
  <c r="AZ179" i="29" s="1"/>
  <c r="AW50" i="29"/>
  <c r="AW71" i="29" s="1"/>
  <c r="AV50" i="29"/>
  <c r="AV71" i="29" s="1"/>
  <c r="AV179" i="29" s="1"/>
  <c r="AU50" i="29"/>
  <c r="AT50" i="29"/>
  <c r="AT71" i="29" s="1"/>
  <c r="AT179" i="29" s="1"/>
  <c r="AS50" i="29"/>
  <c r="AS71" i="29" s="1"/>
  <c r="AS179" i="29" s="1"/>
  <c r="AR50" i="29"/>
  <c r="AR71" i="29" s="1"/>
  <c r="AR179" i="29" s="1"/>
  <c r="AQ50" i="29"/>
  <c r="AQ71" i="29" s="1"/>
  <c r="AP50" i="29"/>
  <c r="AP71" i="29" s="1"/>
  <c r="AP179" i="29" s="1"/>
  <c r="AO50" i="29"/>
  <c r="AN50" i="29"/>
  <c r="AN71" i="29" s="1"/>
  <c r="AN179" i="29" s="1"/>
  <c r="AM50" i="29"/>
  <c r="AM71" i="29" s="1"/>
  <c r="AM179" i="29" s="1"/>
  <c r="AL50" i="29"/>
  <c r="AL71" i="29" s="1"/>
  <c r="AY47" i="29"/>
  <c r="W47" i="29"/>
  <c r="V47" i="29"/>
  <c r="V71" i="29" s="1"/>
  <c r="V175" i="29" s="1"/>
  <c r="S47" i="29"/>
  <c r="S71" i="29" s="1"/>
  <c r="R47" i="29"/>
  <c r="Q47" i="29"/>
  <c r="Q71" i="29" s="1"/>
  <c r="P47" i="29"/>
  <c r="P71" i="29" s="1"/>
  <c r="O47" i="29"/>
  <c r="O71" i="29" s="1"/>
  <c r="O175" i="29" s="1"/>
  <c r="N47" i="29"/>
  <c r="M47" i="29"/>
  <c r="M71" i="29" s="1"/>
  <c r="M175" i="29" s="1"/>
  <c r="L47" i="29"/>
  <c r="L71" i="29" s="1"/>
  <c r="K47" i="29"/>
  <c r="K71" i="29" s="1"/>
  <c r="K175" i="29" s="1"/>
  <c r="J47" i="29"/>
  <c r="J71" i="29" s="1"/>
  <c r="I47" i="29"/>
  <c r="I71" i="29" s="1"/>
  <c r="I175" i="29" s="1"/>
  <c r="H47" i="29"/>
  <c r="AY46" i="29"/>
  <c r="U46" i="29"/>
  <c r="AY45" i="29"/>
  <c r="U45" i="29"/>
  <c r="AY44" i="29"/>
  <c r="U44" i="29"/>
  <c r="AY43" i="29"/>
  <c r="U43" i="29"/>
  <c r="BA38" i="29"/>
  <c r="AZ38" i="29"/>
  <c r="AW38" i="29"/>
  <c r="AV38" i="29"/>
  <c r="AU38" i="29"/>
  <c r="AT38" i="29"/>
  <c r="AS38" i="29"/>
  <c r="AR38" i="29"/>
  <c r="AQ38" i="29"/>
  <c r="AP38" i="29"/>
  <c r="AO38" i="29"/>
  <c r="AN38" i="29"/>
  <c r="AM38" i="29"/>
  <c r="AL38" i="29"/>
  <c r="AY38" i="29" s="1"/>
  <c r="W38" i="29"/>
  <c r="V38" i="29"/>
  <c r="S38" i="29"/>
  <c r="R38" i="29"/>
  <c r="Q38" i="29"/>
  <c r="P38" i="29"/>
  <c r="O38" i="29"/>
  <c r="N38" i="29"/>
  <c r="M38" i="29"/>
  <c r="L38" i="29"/>
  <c r="K38" i="29"/>
  <c r="J38" i="29"/>
  <c r="I38" i="29"/>
  <c r="H38" i="29"/>
  <c r="U38" i="29" s="1"/>
  <c r="AY37" i="29"/>
  <c r="U37" i="29"/>
  <c r="BA34" i="29"/>
  <c r="AZ34" i="29"/>
  <c r="AW34" i="29"/>
  <c r="AV34" i="29"/>
  <c r="AU34" i="29"/>
  <c r="AT34" i="29"/>
  <c r="AS34" i="29"/>
  <c r="AR34" i="29"/>
  <c r="AQ34" i="29"/>
  <c r="AP34" i="29"/>
  <c r="AO34" i="29"/>
  <c r="AN34" i="29"/>
  <c r="AM34" i="29"/>
  <c r="AL34" i="29"/>
  <c r="AY34" i="29" s="1"/>
  <c r="W34" i="29"/>
  <c r="V34" i="29"/>
  <c r="R34" i="29"/>
  <c r="Q34" i="29"/>
  <c r="P34" i="29"/>
  <c r="O34" i="29"/>
  <c r="N34" i="29"/>
  <c r="M34" i="29"/>
  <c r="L34" i="29"/>
  <c r="K34" i="29"/>
  <c r="J34" i="29"/>
  <c r="I34" i="29"/>
  <c r="H34" i="29"/>
  <c r="AY33" i="29"/>
  <c r="U33" i="29"/>
  <c r="AY32" i="29"/>
  <c r="U32" i="29"/>
  <c r="AY31" i="29"/>
  <c r="U31" i="29"/>
  <c r="AY30" i="29"/>
  <c r="U30" i="29"/>
  <c r="AY29" i="29"/>
  <c r="U29" i="29"/>
  <c r="AY28" i="29"/>
  <c r="U28" i="29"/>
  <c r="AY27" i="29"/>
  <c r="U27" i="29"/>
  <c r="AY26" i="29"/>
  <c r="U26" i="29"/>
  <c r="AY25" i="29"/>
  <c r="U25" i="29"/>
  <c r="AY24" i="29"/>
  <c r="BA22" i="29"/>
  <c r="AZ22" i="29"/>
  <c r="AW22" i="29"/>
  <c r="AV22" i="29"/>
  <c r="AU22" i="29"/>
  <c r="AT22" i="29"/>
  <c r="AS22" i="29"/>
  <c r="AR22" i="29"/>
  <c r="AQ22" i="29"/>
  <c r="AP22" i="29"/>
  <c r="AO22" i="29"/>
  <c r="AN22" i="29"/>
  <c r="AM22" i="29"/>
  <c r="AL22" i="29"/>
  <c r="AY22" i="29" s="1"/>
  <c r="W22" i="29"/>
  <c r="V22" i="29"/>
  <c r="S22" i="29"/>
  <c r="R22" i="29"/>
  <c r="Q22" i="29"/>
  <c r="P22" i="29"/>
  <c r="O22" i="29"/>
  <c r="N22" i="29"/>
  <c r="M22" i="29"/>
  <c r="L22" i="29"/>
  <c r="K22" i="29"/>
  <c r="J22" i="29"/>
  <c r="I22" i="29"/>
  <c r="H22" i="29"/>
  <c r="AY21" i="29"/>
  <c r="U21" i="29"/>
  <c r="AY20" i="29"/>
  <c r="U20" i="29"/>
  <c r="AY19" i="29"/>
  <c r="U19" i="29"/>
  <c r="AY18" i="29"/>
  <c r="U18" i="29"/>
  <c r="AY17" i="29"/>
  <c r="U17" i="29"/>
  <c r="BA15" i="29"/>
  <c r="BA35" i="29" s="1"/>
  <c r="BA39" i="29" s="1"/>
  <c r="BA180" i="29" s="1"/>
  <c r="BA187" i="29" s="1"/>
  <c r="AZ15" i="29"/>
  <c r="AZ35" i="29" s="1"/>
  <c r="AZ39" i="29" s="1"/>
  <c r="AZ180" i="29" s="1"/>
  <c r="AZ187" i="29" s="1"/>
  <c r="AW15" i="29"/>
  <c r="AW35" i="29" s="1"/>
  <c r="AW39" i="29" s="1"/>
  <c r="AV15" i="29"/>
  <c r="AV35" i="29" s="1"/>
  <c r="AV39" i="29" s="1"/>
  <c r="AV180" i="29" s="1"/>
  <c r="AV187" i="29" s="1"/>
  <c r="AU15" i="29"/>
  <c r="AU35" i="29" s="1"/>
  <c r="AU39" i="29" s="1"/>
  <c r="AT15" i="29"/>
  <c r="AT35" i="29" s="1"/>
  <c r="AT39" i="29" s="1"/>
  <c r="AS15" i="29"/>
  <c r="AS35" i="29" s="1"/>
  <c r="AS39" i="29" s="1"/>
  <c r="AS180" i="29" s="1"/>
  <c r="AS187" i="29" s="1"/>
  <c r="AR15" i="29"/>
  <c r="AR35" i="29" s="1"/>
  <c r="AR39" i="29" s="1"/>
  <c r="AR180" i="29" s="1"/>
  <c r="AR187" i="29" s="1"/>
  <c r="AQ15" i="29"/>
  <c r="AQ35" i="29" s="1"/>
  <c r="AQ39" i="29" s="1"/>
  <c r="AP15" i="29"/>
  <c r="AP35" i="29" s="1"/>
  <c r="AP39" i="29" s="1"/>
  <c r="AP180" i="29" s="1"/>
  <c r="AP187" i="29" s="1"/>
  <c r="AO15" i="29"/>
  <c r="AO35" i="29" s="1"/>
  <c r="AO39" i="29" s="1"/>
  <c r="AN15" i="29"/>
  <c r="AN35" i="29" s="1"/>
  <c r="AN39" i="29" s="1"/>
  <c r="AM15" i="29"/>
  <c r="AM35" i="29" s="1"/>
  <c r="AM39" i="29" s="1"/>
  <c r="AM180" i="29" s="1"/>
  <c r="AM187" i="29" s="1"/>
  <c r="AL15" i="29"/>
  <c r="AL35" i="29" s="1"/>
  <c r="W15" i="29"/>
  <c r="V15" i="29"/>
  <c r="V35" i="29" s="1"/>
  <c r="V39" i="29" s="1"/>
  <c r="V176" i="29" s="1"/>
  <c r="V184" i="29" s="1"/>
  <c r="S15" i="29"/>
  <c r="R15" i="29"/>
  <c r="Q15" i="29"/>
  <c r="Q35" i="29" s="1"/>
  <c r="Q39" i="29" s="1"/>
  <c r="P15" i="29"/>
  <c r="P35" i="29" s="1"/>
  <c r="P39" i="29" s="1"/>
  <c r="O15" i="29"/>
  <c r="O35" i="29" s="1"/>
  <c r="O39" i="29" s="1"/>
  <c r="O176" i="29" s="1"/>
  <c r="O184" i="29" s="1"/>
  <c r="N15" i="29"/>
  <c r="N35" i="29" s="1"/>
  <c r="N39" i="29" s="1"/>
  <c r="N176" i="29" s="1"/>
  <c r="N184" i="29" s="1"/>
  <c r="M15" i="29"/>
  <c r="M35" i="29" s="1"/>
  <c r="M39" i="29" s="1"/>
  <c r="M176" i="29" s="1"/>
  <c r="M184" i="29" s="1"/>
  <c r="L15" i="29"/>
  <c r="L35" i="29" s="1"/>
  <c r="L39" i="29" s="1"/>
  <c r="K15" i="29"/>
  <c r="K35" i="29" s="1"/>
  <c r="K39" i="29" s="1"/>
  <c r="K176" i="29" s="1"/>
  <c r="K184" i="29" s="1"/>
  <c r="J15" i="29"/>
  <c r="J35" i="29" s="1"/>
  <c r="J39" i="29" s="1"/>
  <c r="I15" i="29"/>
  <c r="I35" i="29" s="1"/>
  <c r="I39" i="29" s="1"/>
  <c r="I176" i="29" s="1"/>
  <c r="I184" i="29" s="1"/>
  <c r="H15" i="29"/>
  <c r="AY14" i="29"/>
  <c r="U14" i="29"/>
  <c r="AY13" i="29"/>
  <c r="U13" i="29"/>
  <c r="AY12" i="29"/>
  <c r="U12" i="29"/>
  <c r="AY11" i="29"/>
  <c r="U11" i="29"/>
  <c r="AY10" i="29"/>
  <c r="U10" i="29"/>
  <c r="AY9" i="29"/>
  <c r="U9" i="29"/>
  <c r="AY8" i="29"/>
  <c r="U8" i="29"/>
  <c r="U7" i="29"/>
  <c r="AY6" i="29"/>
  <c r="U6" i="29"/>
  <c r="AY5" i="29"/>
  <c r="U5" i="29"/>
  <c r="BA185" i="28"/>
  <c r="BA186" i="28" s="1"/>
  <c r="AZ185" i="28"/>
  <c r="AZ186" i="28" s="1"/>
  <c r="AW185" i="28"/>
  <c r="AW186" i="28" s="1"/>
  <c r="AV185" i="28"/>
  <c r="AV186" i="28" s="1"/>
  <c r="AU185" i="28"/>
  <c r="AU186" i="28" s="1"/>
  <c r="AT185" i="28"/>
  <c r="AT186" i="28" s="1"/>
  <c r="AS185" i="28"/>
  <c r="AS186" i="28" s="1"/>
  <c r="AR185" i="28"/>
  <c r="AR186" i="28" s="1"/>
  <c r="AQ185" i="28"/>
  <c r="AQ186" i="28" s="1"/>
  <c r="AP185" i="28"/>
  <c r="AP186" i="28" s="1"/>
  <c r="AO185" i="28"/>
  <c r="AO186" i="28" s="1"/>
  <c r="AN185" i="28"/>
  <c r="AN186" i="28" s="1"/>
  <c r="AM185" i="28"/>
  <c r="AM186" i="28" s="1"/>
  <c r="AL185" i="28"/>
  <c r="AL186" i="28" s="1"/>
  <c r="AY184" i="28"/>
  <c r="AY183" i="28"/>
  <c r="H183" i="28"/>
  <c r="W182" i="28"/>
  <c r="W183" i="28" s="1"/>
  <c r="V182" i="28"/>
  <c r="V183" i="28" s="1"/>
  <c r="S182" i="28"/>
  <c r="S183" i="28" s="1"/>
  <c r="R182" i="28"/>
  <c r="R183" i="28" s="1"/>
  <c r="Q182" i="28"/>
  <c r="Q183" i="28" s="1"/>
  <c r="P182" i="28"/>
  <c r="P183" i="28" s="1"/>
  <c r="O182" i="28"/>
  <c r="O183" i="28" s="1"/>
  <c r="N182" i="28"/>
  <c r="N183" i="28" s="1"/>
  <c r="M182" i="28"/>
  <c r="M183" i="28" s="1"/>
  <c r="L182" i="28"/>
  <c r="L183" i="28" s="1"/>
  <c r="K182" i="28"/>
  <c r="K183" i="28" s="1"/>
  <c r="J182" i="28"/>
  <c r="J183" i="28" s="1"/>
  <c r="I182" i="28"/>
  <c r="I183" i="28" s="1"/>
  <c r="H182" i="28"/>
  <c r="U181" i="28"/>
  <c r="U180" i="28"/>
  <c r="AX179" i="28"/>
  <c r="U179" i="28"/>
  <c r="BA177" i="28"/>
  <c r="W174" i="28"/>
  <c r="W172" i="28"/>
  <c r="BA170" i="28"/>
  <c r="AZ170" i="28"/>
  <c r="AW170" i="28"/>
  <c r="AV170" i="28"/>
  <c r="AU170" i="28"/>
  <c r="AT170" i="28"/>
  <c r="AS170" i="28"/>
  <c r="AR170" i="28"/>
  <c r="AQ170" i="28"/>
  <c r="AP170" i="28"/>
  <c r="AO170" i="28"/>
  <c r="AN170" i="28"/>
  <c r="AM170" i="28"/>
  <c r="AL170" i="28"/>
  <c r="W170" i="28"/>
  <c r="V170" i="28"/>
  <c r="S170" i="28"/>
  <c r="R170" i="28"/>
  <c r="Q170" i="28"/>
  <c r="P170" i="28"/>
  <c r="O170" i="28"/>
  <c r="N170" i="28"/>
  <c r="M170" i="28"/>
  <c r="L170" i="28"/>
  <c r="K170" i="28"/>
  <c r="J170" i="28"/>
  <c r="I170" i="28"/>
  <c r="H170" i="28"/>
  <c r="AY169" i="28"/>
  <c r="U169" i="28"/>
  <c r="AY168" i="28"/>
  <c r="AY167" i="28"/>
  <c r="BA165" i="28"/>
  <c r="AZ165" i="28"/>
  <c r="AW165" i="28"/>
  <c r="AV165" i="28"/>
  <c r="AU165" i="28"/>
  <c r="AT165" i="28"/>
  <c r="AS165" i="28"/>
  <c r="AR165" i="28"/>
  <c r="AQ165" i="28"/>
  <c r="AP165" i="28"/>
  <c r="AO165" i="28"/>
  <c r="AN165" i="28"/>
  <c r="AM165" i="28"/>
  <c r="AL165" i="28"/>
  <c r="W165" i="28"/>
  <c r="V165" i="28"/>
  <c r="S165" i="28"/>
  <c r="R165" i="28"/>
  <c r="Q165" i="28"/>
  <c r="P165" i="28"/>
  <c r="O165" i="28"/>
  <c r="N165" i="28"/>
  <c r="M165" i="28"/>
  <c r="L165" i="28"/>
  <c r="K165" i="28"/>
  <c r="J165" i="28"/>
  <c r="I165" i="28"/>
  <c r="H165" i="28"/>
  <c r="AY164" i="28"/>
  <c r="U164" i="28"/>
  <c r="BA162" i="28"/>
  <c r="AZ162" i="28"/>
  <c r="AW162" i="28"/>
  <c r="AV162" i="28"/>
  <c r="AV171" i="28" s="1"/>
  <c r="AU162" i="28"/>
  <c r="AU171" i="28" s="1"/>
  <c r="AT162" i="28"/>
  <c r="AS162" i="28"/>
  <c r="AR162" i="28"/>
  <c r="AQ162" i="28"/>
  <c r="AP162" i="28"/>
  <c r="AP171" i="28" s="1"/>
  <c r="AO162" i="28"/>
  <c r="AO171" i="28" s="1"/>
  <c r="AN162" i="28"/>
  <c r="AM162" i="28"/>
  <c r="AL162" i="28"/>
  <c r="W162" i="28"/>
  <c r="V162" i="28"/>
  <c r="V171" i="28" s="1"/>
  <c r="S162" i="28"/>
  <c r="S171" i="28" s="1"/>
  <c r="R162" i="28"/>
  <c r="Q162" i="28"/>
  <c r="P162" i="28"/>
  <c r="O162" i="28"/>
  <c r="N162" i="28"/>
  <c r="N171" i="28" s="1"/>
  <c r="M162" i="28"/>
  <c r="M171" i="28" s="1"/>
  <c r="L162" i="28"/>
  <c r="K162" i="28"/>
  <c r="J162" i="28"/>
  <c r="I162" i="28"/>
  <c r="H162" i="28"/>
  <c r="H171" i="28" s="1"/>
  <c r="AY161" i="28"/>
  <c r="AY160" i="28"/>
  <c r="AY159" i="28"/>
  <c r="U159" i="28"/>
  <c r="AY158" i="28"/>
  <c r="R155" i="28"/>
  <c r="AY154" i="28"/>
  <c r="U154" i="28"/>
  <c r="BA153" i="28"/>
  <c r="BA155" i="28" s="1"/>
  <c r="AZ153" i="28"/>
  <c r="AZ155" i="28" s="1"/>
  <c r="AW153" i="28"/>
  <c r="AW155" i="28" s="1"/>
  <c r="AV153" i="28"/>
  <c r="AV155" i="28" s="1"/>
  <c r="AU153" i="28"/>
  <c r="AU155" i="28" s="1"/>
  <c r="AT153" i="28"/>
  <c r="AT155" i="28" s="1"/>
  <c r="AS153" i="28"/>
  <c r="AS155" i="28" s="1"/>
  <c r="AR153" i="28"/>
  <c r="AR155" i="28" s="1"/>
  <c r="AQ153" i="28"/>
  <c r="AQ155" i="28" s="1"/>
  <c r="AP153" i="28"/>
  <c r="AP155" i="28" s="1"/>
  <c r="AO153" i="28"/>
  <c r="AO155" i="28" s="1"/>
  <c r="AN153" i="28"/>
  <c r="AN155" i="28" s="1"/>
  <c r="AM153" i="28"/>
  <c r="AM155" i="28" s="1"/>
  <c r="AL153" i="28"/>
  <c r="W153" i="28"/>
  <c r="W155" i="28" s="1"/>
  <c r="V153" i="28"/>
  <c r="V155" i="28" s="1"/>
  <c r="S153" i="28"/>
  <c r="S155" i="28" s="1"/>
  <c r="R153" i="28"/>
  <c r="Q153" i="28"/>
  <c r="Q155" i="28" s="1"/>
  <c r="P153" i="28"/>
  <c r="P155" i="28" s="1"/>
  <c r="O153" i="28"/>
  <c r="O155" i="28" s="1"/>
  <c r="N153" i="28"/>
  <c r="N155" i="28" s="1"/>
  <c r="M153" i="28"/>
  <c r="M155" i="28" s="1"/>
  <c r="L153" i="28"/>
  <c r="L155" i="28" s="1"/>
  <c r="K153" i="28"/>
  <c r="K155" i="28" s="1"/>
  <c r="J153" i="28"/>
  <c r="J155" i="28" s="1"/>
  <c r="I153" i="28"/>
  <c r="I155" i="28" s="1"/>
  <c r="H153" i="28"/>
  <c r="AY152" i="28"/>
  <c r="U152" i="28"/>
  <c r="BA148" i="28"/>
  <c r="AZ148" i="28"/>
  <c r="AW148" i="28"/>
  <c r="AV148" i="28"/>
  <c r="AU148" i="28"/>
  <c r="AT148" i="28"/>
  <c r="AS148" i="28"/>
  <c r="AR148" i="28"/>
  <c r="AQ148" i="28"/>
  <c r="AP148" i="28"/>
  <c r="AO148" i="28"/>
  <c r="AN148" i="28"/>
  <c r="AM148" i="28"/>
  <c r="AL148" i="28"/>
  <c r="W148" i="28"/>
  <c r="V148" i="28"/>
  <c r="S148" i="28"/>
  <c r="R148" i="28"/>
  <c r="Q148" i="28"/>
  <c r="P148" i="28"/>
  <c r="O148" i="28"/>
  <c r="N148" i="28"/>
  <c r="M148" i="28"/>
  <c r="L148" i="28"/>
  <c r="K148" i="28"/>
  <c r="J148" i="28"/>
  <c r="I148" i="28"/>
  <c r="H148" i="28"/>
  <c r="AY147" i="28"/>
  <c r="U147" i="28"/>
  <c r="AY146" i="28"/>
  <c r="U146" i="28"/>
  <c r="AY145" i="28"/>
  <c r="U145" i="28"/>
  <c r="AY144" i="28"/>
  <c r="U144" i="28"/>
  <c r="AY143" i="28"/>
  <c r="AY142" i="28"/>
  <c r="U142" i="28"/>
  <c r="AY141" i="28"/>
  <c r="U141" i="28"/>
  <c r="AY140" i="28"/>
  <c r="U140" i="28"/>
  <c r="AY139" i="28"/>
  <c r="U139" i="28"/>
  <c r="AY138" i="28"/>
  <c r="U138" i="28"/>
  <c r="AY137" i="28"/>
  <c r="U137" i="28"/>
  <c r="BA124" i="28"/>
  <c r="AZ124" i="28"/>
  <c r="AW124" i="28"/>
  <c r="AV124" i="28"/>
  <c r="AU124" i="28"/>
  <c r="AT124" i="28"/>
  <c r="AS124" i="28"/>
  <c r="AR124" i="28"/>
  <c r="AQ124" i="28"/>
  <c r="AP124" i="28"/>
  <c r="AO124" i="28"/>
  <c r="AN124" i="28"/>
  <c r="AM124" i="28"/>
  <c r="AL124" i="28"/>
  <c r="W124" i="28"/>
  <c r="V124" i="28"/>
  <c r="S124" i="28"/>
  <c r="R124" i="28"/>
  <c r="Q124" i="28"/>
  <c r="P124" i="28"/>
  <c r="O124" i="28"/>
  <c r="N124" i="28"/>
  <c r="M124" i="28"/>
  <c r="L124" i="28"/>
  <c r="K124" i="28"/>
  <c r="J124" i="28"/>
  <c r="I124" i="28"/>
  <c r="H124" i="28"/>
  <c r="AY123" i="28"/>
  <c r="U123" i="28"/>
  <c r="AY122" i="28"/>
  <c r="U122" i="28"/>
  <c r="AY121" i="28"/>
  <c r="U121" i="28"/>
  <c r="AY120" i="28"/>
  <c r="U120" i="28"/>
  <c r="AY119" i="28"/>
  <c r="U119" i="28"/>
  <c r="AY118" i="28"/>
  <c r="U118" i="28"/>
  <c r="AY117" i="28"/>
  <c r="U117" i="28"/>
  <c r="AY116" i="28"/>
  <c r="AY115" i="28"/>
  <c r="U115" i="28"/>
  <c r="AY114" i="28"/>
  <c r="U114" i="28"/>
  <c r="AY113" i="28"/>
  <c r="U113" i="28"/>
  <c r="AY112" i="28"/>
  <c r="U112" i="28"/>
  <c r="AY111" i="28"/>
  <c r="AY110" i="28"/>
  <c r="U110" i="28"/>
  <c r="AY109" i="28"/>
  <c r="U109" i="28"/>
  <c r="AY108" i="28"/>
  <c r="U108" i="28"/>
  <c r="AY107" i="28"/>
  <c r="U107" i="28"/>
  <c r="AY106" i="28"/>
  <c r="U106" i="28"/>
  <c r="AY105" i="28"/>
  <c r="U105" i="28"/>
  <c r="AY104" i="28"/>
  <c r="U104" i="28"/>
  <c r="AY103" i="28"/>
  <c r="U103" i="28"/>
  <c r="AY102" i="28"/>
  <c r="U102" i="28"/>
  <c r="AY101" i="28"/>
  <c r="U101" i="28"/>
  <c r="AY100" i="28"/>
  <c r="U100" i="28"/>
  <c r="AY99" i="28"/>
  <c r="U99" i="28"/>
  <c r="AY98" i="28"/>
  <c r="U98" i="28"/>
  <c r="AY97" i="28"/>
  <c r="U97" i="28"/>
  <c r="AY96" i="28"/>
  <c r="U96" i="28"/>
  <c r="AY95" i="28"/>
  <c r="U95" i="28"/>
  <c r="AY94" i="28"/>
  <c r="U94" i="28"/>
  <c r="AY93" i="28"/>
  <c r="U93" i="28"/>
  <c r="BA76" i="28"/>
  <c r="AZ76" i="28"/>
  <c r="AW76" i="28"/>
  <c r="AV76" i="28"/>
  <c r="AU76" i="28"/>
  <c r="AT76" i="28"/>
  <c r="AT149" i="28" s="1"/>
  <c r="AS76" i="28"/>
  <c r="AR76" i="28"/>
  <c r="AQ76" i="28"/>
  <c r="AP76" i="28"/>
  <c r="AO76" i="28"/>
  <c r="AN76" i="28"/>
  <c r="AN149" i="28" s="1"/>
  <c r="AM76" i="28"/>
  <c r="AL76" i="28"/>
  <c r="W76" i="28"/>
  <c r="V76" i="28"/>
  <c r="S76" i="28"/>
  <c r="R76" i="28"/>
  <c r="Q76" i="28"/>
  <c r="P76" i="28"/>
  <c r="O76" i="28"/>
  <c r="N76" i="28"/>
  <c r="M76" i="28"/>
  <c r="L76" i="28"/>
  <c r="K76" i="28"/>
  <c r="J76" i="28"/>
  <c r="I76" i="28"/>
  <c r="H76" i="28"/>
  <c r="AY75" i="28"/>
  <c r="U75" i="28"/>
  <c r="AY74" i="28"/>
  <c r="U74" i="28"/>
  <c r="BA70" i="28"/>
  <c r="AZ70" i="28"/>
  <c r="AW70" i="28"/>
  <c r="AV70" i="28"/>
  <c r="AU70" i="28"/>
  <c r="AT70" i="28"/>
  <c r="AS70" i="28"/>
  <c r="AR70" i="28"/>
  <c r="AQ70" i="28"/>
  <c r="AP70" i="28"/>
  <c r="AO70" i="28"/>
  <c r="AN70" i="28"/>
  <c r="AM70" i="28"/>
  <c r="AL70" i="28"/>
  <c r="W70" i="28"/>
  <c r="V70" i="28"/>
  <c r="S70" i="28"/>
  <c r="R70" i="28"/>
  <c r="Q70" i="28"/>
  <c r="P70" i="28"/>
  <c r="O70" i="28"/>
  <c r="N70" i="28"/>
  <c r="M70" i="28"/>
  <c r="L70" i="28"/>
  <c r="K70" i="28"/>
  <c r="J70" i="28"/>
  <c r="I70" i="28"/>
  <c r="H70" i="28"/>
  <c r="AY69" i="28"/>
  <c r="U69" i="28"/>
  <c r="AY68" i="28"/>
  <c r="AY67" i="28"/>
  <c r="U67" i="28"/>
  <c r="BA65" i="28"/>
  <c r="AZ65" i="28"/>
  <c r="AW65" i="28"/>
  <c r="AV65" i="28"/>
  <c r="AU65" i="28"/>
  <c r="AT65" i="28"/>
  <c r="AS65" i="28"/>
  <c r="AR65" i="28"/>
  <c r="AQ65" i="28"/>
  <c r="AP65" i="28"/>
  <c r="AO65" i="28"/>
  <c r="AN65" i="28"/>
  <c r="AM65" i="28"/>
  <c r="AL65" i="28"/>
  <c r="W65" i="28"/>
  <c r="V65" i="28"/>
  <c r="S65" i="28"/>
  <c r="R65" i="28"/>
  <c r="Q65" i="28"/>
  <c r="P65" i="28"/>
  <c r="O65" i="28"/>
  <c r="N65" i="28"/>
  <c r="M65" i="28"/>
  <c r="L65" i="28"/>
  <c r="K65" i="28"/>
  <c r="J65" i="28"/>
  <c r="I65" i="28"/>
  <c r="H65" i="28"/>
  <c r="AY64" i="28"/>
  <c r="U64" i="28"/>
  <c r="AY63" i="28"/>
  <c r="U63" i="28"/>
  <c r="AY62" i="28"/>
  <c r="U62" i="28"/>
  <c r="AZ60" i="28"/>
  <c r="AW60" i="28"/>
  <c r="AV60" i="28"/>
  <c r="AU60" i="28"/>
  <c r="AT60" i="28"/>
  <c r="AS60" i="28"/>
  <c r="AR60" i="28"/>
  <c r="AQ60" i="28"/>
  <c r="AP60" i="28"/>
  <c r="AO60" i="28"/>
  <c r="AN60" i="28"/>
  <c r="AM60" i="28"/>
  <c r="AL60" i="28"/>
  <c r="W60" i="28"/>
  <c r="V60" i="28"/>
  <c r="S60" i="28"/>
  <c r="R60" i="28"/>
  <c r="Q60" i="28"/>
  <c r="P60" i="28"/>
  <c r="O60" i="28"/>
  <c r="N60" i="28"/>
  <c r="M60" i="28"/>
  <c r="L60" i="28"/>
  <c r="K60" i="28"/>
  <c r="J60" i="28"/>
  <c r="I60" i="28"/>
  <c r="H60" i="28"/>
  <c r="BA59" i="28"/>
  <c r="AY59" i="28"/>
  <c r="U59" i="28"/>
  <c r="BA58" i="28"/>
  <c r="AY58" i="28"/>
  <c r="U58" i="28"/>
  <c r="BA56" i="28"/>
  <c r="AZ56" i="28"/>
  <c r="AW56" i="28"/>
  <c r="AV56" i="28"/>
  <c r="AU56" i="28"/>
  <c r="AT56" i="28"/>
  <c r="AS56" i="28"/>
  <c r="AR56" i="28"/>
  <c r="AQ56" i="28"/>
  <c r="AP56" i="28"/>
  <c r="AO56" i="28"/>
  <c r="AN56" i="28"/>
  <c r="AM56" i="28"/>
  <c r="AL56" i="28"/>
  <c r="W56" i="28"/>
  <c r="V56" i="28"/>
  <c r="S56" i="28"/>
  <c r="R56" i="28"/>
  <c r="Q56" i="28"/>
  <c r="P56" i="28"/>
  <c r="O56" i="28"/>
  <c r="N56" i="28"/>
  <c r="M56" i="28"/>
  <c r="L56" i="28"/>
  <c r="K56" i="28"/>
  <c r="J56" i="28"/>
  <c r="I56" i="28"/>
  <c r="H56" i="28"/>
  <c r="AY55" i="28"/>
  <c r="U55" i="28"/>
  <c r="AY54" i="28"/>
  <c r="U54" i="28"/>
  <c r="W52" i="28"/>
  <c r="V52" i="28"/>
  <c r="S52" i="28"/>
  <c r="R52" i="28"/>
  <c r="Q52" i="28"/>
  <c r="P52" i="28"/>
  <c r="O52" i="28"/>
  <c r="N52" i="28"/>
  <c r="M52" i="28"/>
  <c r="L52" i="28"/>
  <c r="K52" i="28"/>
  <c r="J52" i="28"/>
  <c r="I52" i="28"/>
  <c r="H52" i="28"/>
  <c r="U51" i="28"/>
  <c r="BA50" i="28"/>
  <c r="AZ50" i="28"/>
  <c r="AW50" i="28"/>
  <c r="AV50" i="28"/>
  <c r="AU50" i="28"/>
  <c r="AT50" i="28"/>
  <c r="AS50" i="28"/>
  <c r="AR50" i="28"/>
  <c r="AQ50" i="28"/>
  <c r="AP50" i="28"/>
  <c r="AO50" i="28"/>
  <c r="AN50" i="28"/>
  <c r="AM50" i="28"/>
  <c r="AL50" i="28"/>
  <c r="AY47" i="28"/>
  <c r="W47" i="28"/>
  <c r="V47" i="28"/>
  <c r="S47" i="28"/>
  <c r="R47" i="28"/>
  <c r="R71" i="28" s="1"/>
  <c r="Q47" i="28"/>
  <c r="P47" i="28"/>
  <c r="O47" i="28"/>
  <c r="N47" i="28"/>
  <c r="M47" i="28"/>
  <c r="L47" i="28"/>
  <c r="L71" i="28" s="1"/>
  <c r="K47" i="28"/>
  <c r="J47" i="28"/>
  <c r="I47" i="28"/>
  <c r="H47" i="28"/>
  <c r="AY46" i="28"/>
  <c r="U46" i="28"/>
  <c r="AY45" i="28"/>
  <c r="U45" i="28"/>
  <c r="AY44" i="28"/>
  <c r="U44" i="28"/>
  <c r="AY43" i="28"/>
  <c r="U43" i="28"/>
  <c r="BA38" i="28"/>
  <c r="AZ38" i="28"/>
  <c r="AW38" i="28"/>
  <c r="AV38" i="28"/>
  <c r="AU38" i="28"/>
  <c r="AT38" i="28"/>
  <c r="AS38" i="28"/>
  <c r="AR38" i="28"/>
  <c r="AQ38" i="28"/>
  <c r="AP38" i="28"/>
  <c r="AO38" i="28"/>
  <c r="AN38" i="28"/>
  <c r="AM38" i="28"/>
  <c r="AL38" i="28"/>
  <c r="W38" i="28"/>
  <c r="V38" i="28"/>
  <c r="S38" i="28"/>
  <c r="R38" i="28"/>
  <c r="Q38" i="28"/>
  <c r="P38" i="28"/>
  <c r="O38" i="28"/>
  <c r="N38" i="28"/>
  <c r="M38" i="28"/>
  <c r="L38" i="28"/>
  <c r="K38" i="28"/>
  <c r="J38" i="28"/>
  <c r="I38" i="28"/>
  <c r="H38" i="28"/>
  <c r="AY37" i="28"/>
  <c r="U37" i="28"/>
  <c r="BA34" i="28"/>
  <c r="AZ34" i="28"/>
  <c r="AW34" i="28"/>
  <c r="AV34" i="28"/>
  <c r="AU34" i="28"/>
  <c r="AT34" i="28"/>
  <c r="AS34" i="28"/>
  <c r="AR34" i="28"/>
  <c r="AQ34" i="28"/>
  <c r="AP34" i="28"/>
  <c r="AO34" i="28"/>
  <c r="AN34" i="28"/>
  <c r="AM34" i="28"/>
  <c r="AL34" i="28"/>
  <c r="W34" i="28"/>
  <c r="V34" i="28"/>
  <c r="S34" i="28"/>
  <c r="R34" i="28"/>
  <c r="Q34" i="28"/>
  <c r="P34" i="28"/>
  <c r="O34" i="28"/>
  <c r="N34" i="28"/>
  <c r="M34" i="28"/>
  <c r="L34" i="28"/>
  <c r="K34" i="28"/>
  <c r="J34" i="28"/>
  <c r="I34" i="28"/>
  <c r="H34" i="28"/>
  <c r="AY33" i="28"/>
  <c r="U33" i="28"/>
  <c r="AY32" i="28"/>
  <c r="U32" i="28"/>
  <c r="AY31" i="28"/>
  <c r="U31" i="28"/>
  <c r="AY30" i="28"/>
  <c r="U30" i="28"/>
  <c r="AY29" i="28"/>
  <c r="U29" i="28"/>
  <c r="AY28" i="28"/>
  <c r="U28" i="28"/>
  <c r="AY27" i="28"/>
  <c r="U27" i="28"/>
  <c r="AY26" i="28"/>
  <c r="U26" i="28"/>
  <c r="AY25" i="28"/>
  <c r="U25" i="28"/>
  <c r="AY24" i="28"/>
  <c r="U24" i="28"/>
  <c r="BA22" i="28"/>
  <c r="AZ22" i="28"/>
  <c r="AW22" i="28"/>
  <c r="AV22" i="28"/>
  <c r="AU22" i="28"/>
  <c r="AT22" i="28"/>
  <c r="AS22" i="28"/>
  <c r="AR22" i="28"/>
  <c r="AQ22" i="28"/>
  <c r="AP22" i="28"/>
  <c r="AO22" i="28"/>
  <c r="AN22" i="28"/>
  <c r="AM22" i="28"/>
  <c r="AL22" i="28"/>
  <c r="W22" i="28"/>
  <c r="V22" i="28"/>
  <c r="S22" i="28"/>
  <c r="R22" i="28"/>
  <c r="Q22" i="28"/>
  <c r="P22" i="28"/>
  <c r="O22" i="28"/>
  <c r="N22" i="28"/>
  <c r="M22" i="28"/>
  <c r="L22" i="28"/>
  <c r="K22" i="28"/>
  <c r="J22" i="28"/>
  <c r="I22" i="28"/>
  <c r="H22" i="28"/>
  <c r="AY21" i="28"/>
  <c r="U21" i="28"/>
  <c r="AY20" i="28"/>
  <c r="U20" i="28"/>
  <c r="AY19" i="28"/>
  <c r="U19" i="28"/>
  <c r="AY18" i="28"/>
  <c r="U18" i="28"/>
  <c r="AY17" i="28"/>
  <c r="U17" i="28"/>
  <c r="BA15" i="28"/>
  <c r="BA35" i="28" s="1"/>
  <c r="BA39" i="28" s="1"/>
  <c r="AZ15" i="28"/>
  <c r="AZ35" i="28" s="1"/>
  <c r="AZ39" i="28" s="1"/>
  <c r="AW15" i="28"/>
  <c r="AV15" i="28"/>
  <c r="AV35" i="28" s="1"/>
  <c r="AV39" i="28" s="1"/>
  <c r="AU15" i="28"/>
  <c r="AT15" i="28"/>
  <c r="AS15" i="28"/>
  <c r="AS35" i="28" s="1"/>
  <c r="AS39" i="28" s="1"/>
  <c r="AR15" i="28"/>
  <c r="AR35" i="28" s="1"/>
  <c r="AR39" i="28" s="1"/>
  <c r="AQ15" i="28"/>
  <c r="AP15" i="28"/>
  <c r="AP35" i="28" s="1"/>
  <c r="AP39" i="28" s="1"/>
  <c r="AO15" i="28"/>
  <c r="AN15" i="28"/>
  <c r="AM15" i="28"/>
  <c r="AM35" i="28" s="1"/>
  <c r="AM39" i="28" s="1"/>
  <c r="AL15" i="28"/>
  <c r="AL35" i="28" s="1"/>
  <c r="W15" i="28"/>
  <c r="V15" i="28"/>
  <c r="V35" i="28" s="1"/>
  <c r="V39" i="28" s="1"/>
  <c r="S15" i="28"/>
  <c r="R15" i="28"/>
  <c r="Q15" i="28"/>
  <c r="Q35" i="28" s="1"/>
  <c r="Q39" i="28" s="1"/>
  <c r="P15" i="28"/>
  <c r="P35" i="28" s="1"/>
  <c r="P39" i="28" s="1"/>
  <c r="O15" i="28"/>
  <c r="N15" i="28"/>
  <c r="N35" i="28" s="1"/>
  <c r="N39" i="28" s="1"/>
  <c r="M15" i="28"/>
  <c r="L15" i="28"/>
  <c r="K15" i="28"/>
  <c r="K35" i="28" s="1"/>
  <c r="K39" i="28" s="1"/>
  <c r="J15" i="28"/>
  <c r="J35" i="28" s="1"/>
  <c r="J39" i="28" s="1"/>
  <c r="I15" i="28"/>
  <c r="H15" i="28"/>
  <c r="H35" i="28" s="1"/>
  <c r="AY14" i="28"/>
  <c r="U14" i="28"/>
  <c r="AY13" i="28"/>
  <c r="U13" i="28"/>
  <c r="AY12" i="28"/>
  <c r="U12" i="28"/>
  <c r="AY11" i="28"/>
  <c r="U11" i="28"/>
  <c r="AY10" i="28"/>
  <c r="U10" i="28"/>
  <c r="AY9" i="28"/>
  <c r="U9" i="28"/>
  <c r="AY8" i="28"/>
  <c r="U8" i="28"/>
  <c r="U7" i="28"/>
  <c r="AY6" i="28"/>
  <c r="U6" i="28"/>
  <c r="AY5" i="28"/>
  <c r="U5" i="28"/>
  <c r="W146" i="25"/>
  <c r="U30" i="25"/>
  <c r="W144" i="25"/>
  <c r="C21" i="23"/>
  <c r="B38" i="23"/>
  <c r="C38" i="23"/>
  <c r="W154" i="25"/>
  <c r="W155" i="25" s="1"/>
  <c r="W142" i="25"/>
  <c r="W137" i="25"/>
  <c r="W134" i="25"/>
  <c r="W125" i="25"/>
  <c r="W127" i="25" s="1"/>
  <c r="W120" i="25"/>
  <c r="W107" i="25"/>
  <c r="W74" i="25"/>
  <c r="W68" i="25"/>
  <c r="W63" i="25"/>
  <c r="W58" i="25"/>
  <c r="W54" i="25"/>
  <c r="W50" i="25"/>
  <c r="W47" i="25"/>
  <c r="W38" i="25"/>
  <c r="W34" i="25"/>
  <c r="W22" i="25"/>
  <c r="W15" i="25"/>
  <c r="Z185" i="27"/>
  <c r="T185" i="27"/>
  <c r="R185" i="27"/>
  <c r="N185" i="27"/>
  <c r="Z184" i="27"/>
  <c r="Y184" i="27"/>
  <c r="Y185" i="27" s="1"/>
  <c r="V184" i="27"/>
  <c r="V185" i="27" s="1"/>
  <c r="U184" i="27"/>
  <c r="U185" i="27" s="1"/>
  <c r="T184" i="27"/>
  <c r="S184" i="27"/>
  <c r="S185" i="27" s="1"/>
  <c r="R184" i="27"/>
  <c r="Q184" i="27"/>
  <c r="Q185" i="27" s="1"/>
  <c r="P184" i="27"/>
  <c r="P185" i="27" s="1"/>
  <c r="O184" i="27"/>
  <c r="O185" i="27" s="1"/>
  <c r="N184" i="27"/>
  <c r="M184" i="27"/>
  <c r="M185" i="27" s="1"/>
  <c r="L184" i="27"/>
  <c r="L185" i="27" s="1"/>
  <c r="K184" i="27"/>
  <c r="X184" i="27" s="1"/>
  <c r="X183" i="27"/>
  <c r="X182" i="27"/>
  <c r="W178" i="27"/>
  <c r="Z176" i="27"/>
  <c r="Z171" i="27"/>
  <c r="T171" i="27"/>
  <c r="R171" i="27"/>
  <c r="N171" i="27"/>
  <c r="Z170" i="27"/>
  <c r="Y170" i="27"/>
  <c r="V170" i="27"/>
  <c r="U170" i="27"/>
  <c r="T170" i="27"/>
  <c r="S170" i="27"/>
  <c r="R170" i="27"/>
  <c r="Q170" i="27"/>
  <c r="Q171" i="27" s="1"/>
  <c r="P170" i="27"/>
  <c r="O170" i="27"/>
  <c r="N170" i="27"/>
  <c r="M170" i="27"/>
  <c r="L170" i="27"/>
  <c r="L171" i="27" s="1"/>
  <c r="K170" i="27"/>
  <c r="X170" i="27" s="1"/>
  <c r="X169" i="27"/>
  <c r="X168" i="27"/>
  <c r="X167" i="27"/>
  <c r="Z165" i="27"/>
  <c r="Y165" i="27"/>
  <c r="V165" i="27"/>
  <c r="U165" i="27"/>
  <c r="T165" i="27"/>
  <c r="S165" i="27"/>
  <c r="R165" i="27"/>
  <c r="Q165" i="27"/>
  <c r="P165" i="27"/>
  <c r="O165" i="27"/>
  <c r="N165" i="27"/>
  <c r="M165" i="27"/>
  <c r="L165" i="27"/>
  <c r="K165" i="27"/>
  <c r="X165" i="27" s="1"/>
  <c r="X164" i="27"/>
  <c r="Z162" i="27"/>
  <c r="Y162" i="27"/>
  <c r="Y171" i="27" s="1"/>
  <c r="V162" i="27"/>
  <c r="V171" i="27" s="1"/>
  <c r="U162" i="27"/>
  <c r="U171" i="27" s="1"/>
  <c r="T162" i="27"/>
  <c r="S162" i="27"/>
  <c r="S171" i="27" s="1"/>
  <c r="R162" i="27"/>
  <c r="Q162" i="27"/>
  <c r="P162" i="27"/>
  <c r="P171" i="27" s="1"/>
  <c r="O162" i="27"/>
  <c r="O171" i="27" s="1"/>
  <c r="N162" i="27"/>
  <c r="M162" i="27"/>
  <c r="M171" i="27" s="1"/>
  <c r="L162" i="27"/>
  <c r="K162" i="27"/>
  <c r="X162" i="27" s="1"/>
  <c r="X161" i="27"/>
  <c r="X160" i="27"/>
  <c r="X159" i="27"/>
  <c r="X158" i="27"/>
  <c r="X154" i="27"/>
  <c r="Z153" i="27"/>
  <c r="Z155" i="27" s="1"/>
  <c r="Y153" i="27"/>
  <c r="Y155" i="27" s="1"/>
  <c r="V153" i="27"/>
  <c r="V155" i="27" s="1"/>
  <c r="U153" i="27"/>
  <c r="U155" i="27" s="1"/>
  <c r="T153" i="27"/>
  <c r="T155" i="27" s="1"/>
  <c r="S153" i="27"/>
  <c r="S155" i="27" s="1"/>
  <c r="R153" i="27"/>
  <c r="R155" i="27" s="1"/>
  <c r="Q153" i="27"/>
  <c r="Q155" i="27" s="1"/>
  <c r="P153" i="27"/>
  <c r="P155" i="27" s="1"/>
  <c r="O153" i="27"/>
  <c r="O155" i="27" s="1"/>
  <c r="N153" i="27"/>
  <c r="N155" i="27" s="1"/>
  <c r="M153" i="27"/>
  <c r="M155" i="27" s="1"/>
  <c r="L153" i="27"/>
  <c r="L155" i="27" s="1"/>
  <c r="K153" i="27"/>
  <c r="K155" i="27" s="1"/>
  <c r="X152" i="27"/>
  <c r="Y149" i="27"/>
  <c r="N149" i="27"/>
  <c r="M149" i="27"/>
  <c r="Z148" i="27"/>
  <c r="Y148" i="27"/>
  <c r="V148" i="27"/>
  <c r="U148" i="27"/>
  <c r="T148" i="27"/>
  <c r="S148" i="27"/>
  <c r="R148" i="27"/>
  <c r="Q148" i="27"/>
  <c r="P148" i="27"/>
  <c r="O148" i="27"/>
  <c r="N148" i="27"/>
  <c r="M148" i="27"/>
  <c r="L148" i="27"/>
  <c r="L149" i="27" s="1"/>
  <c r="K148" i="27"/>
  <c r="X147" i="27"/>
  <c r="X146" i="27"/>
  <c r="X145" i="27"/>
  <c r="X144" i="27"/>
  <c r="X143" i="27"/>
  <c r="X142" i="27"/>
  <c r="X141" i="27"/>
  <c r="X140" i="27"/>
  <c r="X139" i="27"/>
  <c r="X138" i="27"/>
  <c r="X137" i="27"/>
  <c r="Z124" i="27"/>
  <c r="Y124" i="27"/>
  <c r="V124" i="27"/>
  <c r="V149" i="27" s="1"/>
  <c r="U124" i="27"/>
  <c r="T124" i="27"/>
  <c r="S124" i="27"/>
  <c r="R124" i="27"/>
  <c r="Q124" i="27"/>
  <c r="P124" i="27"/>
  <c r="O124" i="27"/>
  <c r="N124" i="27"/>
  <c r="M124" i="27"/>
  <c r="L124" i="27"/>
  <c r="K124" i="27"/>
  <c r="K149" i="27" s="1"/>
  <c r="X149" i="27" s="1"/>
  <c r="X123" i="27"/>
  <c r="X122" i="27"/>
  <c r="X121" i="27"/>
  <c r="X120" i="27"/>
  <c r="X119" i="27"/>
  <c r="X118" i="27"/>
  <c r="X117" i="27"/>
  <c r="X116" i="27"/>
  <c r="X115" i="27"/>
  <c r="X114" i="27"/>
  <c r="X113" i="27"/>
  <c r="X112" i="27"/>
  <c r="X111" i="27"/>
  <c r="X110" i="27"/>
  <c r="X109" i="27"/>
  <c r="X108" i="27"/>
  <c r="X107" i="27"/>
  <c r="X106" i="27"/>
  <c r="X105" i="27"/>
  <c r="X104" i="27"/>
  <c r="X103" i="27"/>
  <c r="X102" i="27"/>
  <c r="X101" i="27"/>
  <c r="X100" i="27"/>
  <c r="X99" i="27"/>
  <c r="X98" i="27"/>
  <c r="X97" i="27"/>
  <c r="X96" i="27"/>
  <c r="X95" i="27"/>
  <c r="X94" i="27"/>
  <c r="X93" i="27"/>
  <c r="Z73" i="27"/>
  <c r="Z149" i="27" s="1"/>
  <c r="Y73" i="27"/>
  <c r="V73" i="27"/>
  <c r="U73" i="27"/>
  <c r="U149" i="27" s="1"/>
  <c r="T73" i="27"/>
  <c r="T149" i="27" s="1"/>
  <c r="S73" i="27"/>
  <c r="S149" i="27" s="1"/>
  <c r="R73" i="27"/>
  <c r="R149" i="27" s="1"/>
  <c r="Q73" i="27"/>
  <c r="Q149" i="27" s="1"/>
  <c r="P73" i="27"/>
  <c r="P149" i="27" s="1"/>
  <c r="O73" i="27"/>
  <c r="O149" i="27" s="1"/>
  <c r="N73" i="27"/>
  <c r="M73" i="27"/>
  <c r="X73" i="27" s="1"/>
  <c r="L73" i="27"/>
  <c r="K73" i="27"/>
  <c r="X72" i="27"/>
  <c r="X71" i="27"/>
  <c r="U68" i="27"/>
  <c r="U178" i="27" s="1"/>
  <c r="P68" i="27"/>
  <c r="N68" i="27"/>
  <c r="N178" i="27" s="1"/>
  <c r="Z67" i="27"/>
  <c r="Y67" i="27"/>
  <c r="V67" i="27"/>
  <c r="U67" i="27"/>
  <c r="T67" i="27"/>
  <c r="S67" i="27"/>
  <c r="R67" i="27"/>
  <c r="Q67" i="27"/>
  <c r="P67" i="27"/>
  <c r="O67" i="27"/>
  <c r="N67" i="27"/>
  <c r="M67" i="27"/>
  <c r="X67" i="27" s="1"/>
  <c r="L67" i="27"/>
  <c r="K67" i="27"/>
  <c r="X66" i="27"/>
  <c r="X65" i="27"/>
  <c r="X64" i="27"/>
  <c r="Z62" i="27"/>
  <c r="Y62" i="27"/>
  <c r="V62" i="27"/>
  <c r="V68" i="27" s="1"/>
  <c r="U62" i="27"/>
  <c r="T62" i="27"/>
  <c r="S62" i="27"/>
  <c r="R62" i="27"/>
  <c r="Q62" i="27"/>
  <c r="P62" i="27"/>
  <c r="O62" i="27"/>
  <c r="N62" i="27"/>
  <c r="M62" i="27"/>
  <c r="L62" i="27"/>
  <c r="K62" i="27"/>
  <c r="X61" i="27"/>
  <c r="X60" i="27"/>
  <c r="X59" i="27"/>
  <c r="Y57" i="27"/>
  <c r="V57" i="27"/>
  <c r="U57" i="27"/>
  <c r="T57" i="27"/>
  <c r="S57" i="27"/>
  <c r="R57" i="27"/>
  <c r="R68" i="27" s="1"/>
  <c r="Q57" i="27"/>
  <c r="P57" i="27"/>
  <c r="O57" i="27"/>
  <c r="N57" i="27"/>
  <c r="M57" i="27"/>
  <c r="X57" i="27" s="1"/>
  <c r="L57" i="27"/>
  <c r="K57" i="27"/>
  <c r="Z56" i="27"/>
  <c r="X56" i="27"/>
  <c r="Z55" i="27"/>
  <c r="Z57" i="27" s="1"/>
  <c r="X55" i="27"/>
  <c r="Z53" i="27"/>
  <c r="Y53" i="27"/>
  <c r="V53" i="27"/>
  <c r="U53" i="27"/>
  <c r="T53" i="27"/>
  <c r="S53" i="27"/>
  <c r="S68" i="27" s="1"/>
  <c r="S178" i="27" s="1"/>
  <c r="R53" i="27"/>
  <c r="Q53" i="27"/>
  <c r="P53" i="27"/>
  <c r="O53" i="27"/>
  <c r="N53" i="27"/>
  <c r="M53" i="27"/>
  <c r="L53" i="27"/>
  <c r="K53" i="27"/>
  <c r="X53" i="27" s="1"/>
  <c r="X52" i="27"/>
  <c r="X51" i="27"/>
  <c r="Z47" i="27"/>
  <c r="Z68" i="27" s="1"/>
  <c r="Y47" i="27"/>
  <c r="Y68" i="27" s="1"/>
  <c r="Y178" i="27" s="1"/>
  <c r="V47" i="27"/>
  <c r="U47" i="27"/>
  <c r="T47" i="27"/>
  <c r="T68" i="27" s="1"/>
  <c r="T178" i="27" s="1"/>
  <c r="S47" i="27"/>
  <c r="R47" i="27"/>
  <c r="Q47" i="27"/>
  <c r="Q68" i="27" s="1"/>
  <c r="P47" i="27"/>
  <c r="O47" i="27"/>
  <c r="O68" i="27" s="1"/>
  <c r="N47" i="27"/>
  <c r="M47" i="27"/>
  <c r="M68" i="27" s="1"/>
  <c r="M178" i="27" s="1"/>
  <c r="L47" i="27"/>
  <c r="X47" i="27" s="1"/>
  <c r="K47" i="27"/>
  <c r="K68" i="27" s="1"/>
  <c r="X46" i="27"/>
  <c r="X45" i="27"/>
  <c r="X44" i="27"/>
  <c r="X43" i="27"/>
  <c r="X42" i="27"/>
  <c r="P38" i="27"/>
  <c r="Z37" i="27"/>
  <c r="Y37" i="27"/>
  <c r="V37" i="27"/>
  <c r="U37" i="27"/>
  <c r="T37" i="27"/>
  <c r="S37" i="27"/>
  <c r="R37" i="27"/>
  <c r="Q37" i="27"/>
  <c r="P37" i="27"/>
  <c r="O37" i="27"/>
  <c r="N37" i="27"/>
  <c r="M37" i="27"/>
  <c r="L37" i="27"/>
  <c r="K37" i="27"/>
  <c r="X37" i="27" s="1"/>
  <c r="X36" i="27"/>
  <c r="P34" i="27"/>
  <c r="O34" i="27"/>
  <c r="O38" i="27" s="1"/>
  <c r="M34" i="27"/>
  <c r="M38" i="27" s="1"/>
  <c r="Z33" i="27"/>
  <c r="Y33" i="27"/>
  <c r="V33" i="27"/>
  <c r="U33" i="27"/>
  <c r="T33" i="27"/>
  <c r="S33" i="27"/>
  <c r="R33" i="27"/>
  <c r="Q33" i="27"/>
  <c r="P33" i="27"/>
  <c r="O33" i="27"/>
  <c r="N33" i="27"/>
  <c r="X33" i="27" s="1"/>
  <c r="M33" i="27"/>
  <c r="L33" i="27"/>
  <c r="K33" i="27"/>
  <c r="X32" i="27"/>
  <c r="X31" i="27"/>
  <c r="X30" i="27"/>
  <c r="X29" i="27"/>
  <c r="X28" i="27"/>
  <c r="X27" i="27"/>
  <c r="X26" i="27"/>
  <c r="X25" i="27"/>
  <c r="X24" i="27"/>
  <c r="X23" i="27"/>
  <c r="Z21" i="27"/>
  <c r="Y21" i="27"/>
  <c r="Y34" i="27" s="1"/>
  <c r="Y38" i="27" s="1"/>
  <c r="X21" i="27"/>
  <c r="V21" i="27"/>
  <c r="U21" i="27"/>
  <c r="T21" i="27"/>
  <c r="S21" i="27"/>
  <c r="R21" i="27"/>
  <c r="R34" i="27" s="1"/>
  <c r="R38" i="27" s="1"/>
  <c r="Q21" i="27"/>
  <c r="P21" i="27"/>
  <c r="O21" i="27"/>
  <c r="N21" i="27"/>
  <c r="M21" i="27"/>
  <c r="L21" i="27"/>
  <c r="K21" i="27"/>
  <c r="X20" i="27"/>
  <c r="X19" i="27"/>
  <c r="X18" i="27"/>
  <c r="X17" i="27"/>
  <c r="X16" i="27"/>
  <c r="Z14" i="27"/>
  <c r="Z34" i="27" s="1"/>
  <c r="Z38" i="27" s="1"/>
  <c r="Y14" i="27"/>
  <c r="V14" i="27"/>
  <c r="V34" i="27" s="1"/>
  <c r="V38" i="27" s="1"/>
  <c r="U14" i="27"/>
  <c r="U34" i="27" s="1"/>
  <c r="U38" i="27" s="1"/>
  <c r="T14" i="27"/>
  <c r="T34" i="27" s="1"/>
  <c r="T38" i="27" s="1"/>
  <c r="S14" i="27"/>
  <c r="S34" i="27" s="1"/>
  <c r="S38" i="27" s="1"/>
  <c r="R14" i="27"/>
  <c r="Q14" i="27"/>
  <c r="Q34" i="27" s="1"/>
  <c r="Q38" i="27" s="1"/>
  <c r="P14" i="27"/>
  <c r="O14" i="27"/>
  <c r="N14" i="27"/>
  <c r="N34" i="27" s="1"/>
  <c r="N38" i="27" s="1"/>
  <c r="N179" i="27" s="1"/>
  <c r="N186" i="27" s="1"/>
  <c r="M14" i="27"/>
  <c r="L14" i="27"/>
  <c r="L34" i="27" s="1"/>
  <c r="L38" i="27" s="1"/>
  <c r="K14" i="27"/>
  <c r="K34" i="27" s="1"/>
  <c r="X13" i="27"/>
  <c r="X12" i="27"/>
  <c r="X11" i="27"/>
  <c r="X10" i="27"/>
  <c r="X9" i="27"/>
  <c r="X8" i="27"/>
  <c r="X7" i="27"/>
  <c r="X6" i="27"/>
  <c r="X5" i="27"/>
  <c r="V134" i="25"/>
  <c r="BA157" i="25"/>
  <c r="BA158" i="25" s="1"/>
  <c r="AZ157" i="25"/>
  <c r="AZ158" i="25" s="1"/>
  <c r="AW157" i="25"/>
  <c r="AW158" i="25" s="1"/>
  <c r="AV157" i="25"/>
  <c r="AV158" i="25" s="1"/>
  <c r="AU157" i="25"/>
  <c r="AU158" i="25" s="1"/>
  <c r="AT157" i="25"/>
  <c r="AT158" i="25" s="1"/>
  <c r="AS157" i="25"/>
  <c r="AS158" i="25" s="1"/>
  <c r="AR157" i="25"/>
  <c r="AR158" i="25" s="1"/>
  <c r="AQ157" i="25"/>
  <c r="AQ158" i="25" s="1"/>
  <c r="AP157" i="25"/>
  <c r="AP158" i="25" s="1"/>
  <c r="AO157" i="25"/>
  <c r="AO158" i="25" s="1"/>
  <c r="AN157" i="25"/>
  <c r="AN158" i="25" s="1"/>
  <c r="AM157" i="25"/>
  <c r="AM158" i="25" s="1"/>
  <c r="AL157" i="25"/>
  <c r="AY156" i="25"/>
  <c r="AY155" i="25"/>
  <c r="AX151" i="25"/>
  <c r="BA149" i="25"/>
  <c r="BA142" i="25"/>
  <c r="AZ142" i="25"/>
  <c r="AW142" i="25"/>
  <c r="AV142" i="25"/>
  <c r="AU142" i="25"/>
  <c r="AT142" i="25"/>
  <c r="AS142" i="25"/>
  <c r="AR142" i="25"/>
  <c r="AQ142" i="25"/>
  <c r="AP142" i="25"/>
  <c r="AO142" i="25"/>
  <c r="AN142" i="25"/>
  <c r="AM142" i="25"/>
  <c r="AL142" i="25"/>
  <c r="AY141" i="25"/>
  <c r="AY140" i="25"/>
  <c r="AY139" i="25"/>
  <c r="BA137" i="25"/>
  <c r="AZ137" i="25"/>
  <c r="AW137" i="25"/>
  <c r="AV137" i="25"/>
  <c r="AU137" i="25"/>
  <c r="AT137" i="25"/>
  <c r="AS137" i="25"/>
  <c r="AR137" i="25"/>
  <c r="AQ137" i="25"/>
  <c r="AP137" i="25"/>
  <c r="AO137" i="25"/>
  <c r="AN137" i="25"/>
  <c r="AM137" i="25"/>
  <c r="AL137" i="25"/>
  <c r="AY136" i="25"/>
  <c r="BA134" i="25"/>
  <c r="AZ134" i="25"/>
  <c r="AW134" i="25"/>
  <c r="AV134" i="25"/>
  <c r="AU134" i="25"/>
  <c r="AT134" i="25"/>
  <c r="AS134" i="25"/>
  <c r="AR134" i="25"/>
  <c r="AQ134" i="25"/>
  <c r="AP134" i="25"/>
  <c r="AO134" i="25"/>
  <c r="AN134" i="25"/>
  <c r="AM134" i="25"/>
  <c r="AL134" i="25"/>
  <c r="AY133" i="25"/>
  <c r="AY132" i="25"/>
  <c r="AY131" i="25"/>
  <c r="AY130" i="25"/>
  <c r="AY126" i="25"/>
  <c r="BA125" i="25"/>
  <c r="BA127" i="25" s="1"/>
  <c r="AZ125" i="25"/>
  <c r="AZ127" i="25" s="1"/>
  <c r="AW125" i="25"/>
  <c r="AW127" i="25" s="1"/>
  <c r="AV125" i="25"/>
  <c r="AV127" i="25" s="1"/>
  <c r="AU125" i="25"/>
  <c r="AU127" i="25" s="1"/>
  <c r="AT125" i="25"/>
  <c r="AT127" i="25" s="1"/>
  <c r="AS125" i="25"/>
  <c r="AS127" i="25" s="1"/>
  <c r="AR125" i="25"/>
  <c r="AR127" i="25" s="1"/>
  <c r="AQ125" i="25"/>
  <c r="AQ127" i="25" s="1"/>
  <c r="AP125" i="25"/>
  <c r="AP127" i="25" s="1"/>
  <c r="AO125" i="25"/>
  <c r="AO127" i="25" s="1"/>
  <c r="AN125" i="25"/>
  <c r="AN127" i="25" s="1"/>
  <c r="AM125" i="25"/>
  <c r="AM127" i="25" s="1"/>
  <c r="AL125" i="25"/>
  <c r="AL127" i="25" s="1"/>
  <c r="AY124" i="25"/>
  <c r="BA120" i="25"/>
  <c r="AZ120" i="25"/>
  <c r="AW120" i="25"/>
  <c r="AV120" i="25"/>
  <c r="AU120" i="25"/>
  <c r="AT120" i="25"/>
  <c r="AS120" i="25"/>
  <c r="AR120" i="25"/>
  <c r="AQ120" i="25"/>
  <c r="AP120" i="25"/>
  <c r="AO120" i="25"/>
  <c r="AN120" i="25"/>
  <c r="AM120" i="25"/>
  <c r="AL120" i="25"/>
  <c r="AY119" i="25"/>
  <c r="AY118" i="25"/>
  <c r="AY117" i="25"/>
  <c r="AY116" i="25"/>
  <c r="AY115" i="25"/>
  <c r="AY114" i="25"/>
  <c r="AY113" i="25"/>
  <c r="AY112" i="25"/>
  <c r="AY111" i="25"/>
  <c r="AY110" i="25"/>
  <c r="AY109" i="25"/>
  <c r="BA107" i="25"/>
  <c r="AZ107" i="25"/>
  <c r="AW107" i="25"/>
  <c r="AV107" i="25"/>
  <c r="AU107" i="25"/>
  <c r="AT107" i="25"/>
  <c r="AS107" i="25"/>
  <c r="AR107" i="25"/>
  <c r="AQ107" i="25"/>
  <c r="AP107" i="25"/>
  <c r="AO107" i="25"/>
  <c r="AN107" i="25"/>
  <c r="AM107" i="25"/>
  <c r="AL107" i="25"/>
  <c r="AY106" i="25"/>
  <c r="AY105" i="25"/>
  <c r="AY104" i="25"/>
  <c r="AY103" i="25"/>
  <c r="AY102" i="25"/>
  <c r="AY101" i="25"/>
  <c r="AY100" i="25"/>
  <c r="AY99" i="25"/>
  <c r="AY98" i="25"/>
  <c r="AY97" i="25"/>
  <c r="AY96" i="25"/>
  <c r="AY95" i="25"/>
  <c r="AY94" i="25"/>
  <c r="AY93" i="25"/>
  <c r="AY92" i="25"/>
  <c r="AY91" i="25"/>
  <c r="AY90" i="25"/>
  <c r="AY89" i="25"/>
  <c r="AY88" i="25"/>
  <c r="AY87" i="25"/>
  <c r="AY86" i="25"/>
  <c r="AY85" i="25"/>
  <c r="AY84" i="25"/>
  <c r="AY83" i="25"/>
  <c r="AY82" i="25"/>
  <c r="AY81" i="25"/>
  <c r="AY80" i="25"/>
  <c r="AY79" i="25"/>
  <c r="AY78" i="25"/>
  <c r="AY77" i="25"/>
  <c r="AY76" i="25"/>
  <c r="BA74" i="25"/>
  <c r="AZ74" i="25"/>
  <c r="AW74" i="25"/>
  <c r="AV74" i="25"/>
  <c r="AU74" i="25"/>
  <c r="AT74" i="25"/>
  <c r="AS74" i="25"/>
  <c r="AR74" i="25"/>
  <c r="AQ74" i="25"/>
  <c r="AP74" i="25"/>
  <c r="AO74" i="25"/>
  <c r="AN74" i="25"/>
  <c r="AM74" i="25"/>
  <c r="AL74" i="25"/>
  <c r="AY73" i="25"/>
  <c r="AY72" i="25"/>
  <c r="BA68" i="25"/>
  <c r="AZ68" i="25"/>
  <c r="AW68" i="25"/>
  <c r="AV68" i="25"/>
  <c r="AU68" i="25"/>
  <c r="AT68" i="25"/>
  <c r="AS68" i="25"/>
  <c r="AR68" i="25"/>
  <c r="AQ68" i="25"/>
  <c r="AP68" i="25"/>
  <c r="AO68" i="25"/>
  <c r="AN68" i="25"/>
  <c r="AM68" i="25"/>
  <c r="AL68" i="25"/>
  <c r="AY67" i="25"/>
  <c r="AY66" i="25"/>
  <c r="AY65" i="25"/>
  <c r="BA63" i="25"/>
  <c r="AZ63" i="25"/>
  <c r="AW63" i="25"/>
  <c r="AV63" i="25"/>
  <c r="AU63" i="25"/>
  <c r="AT63" i="25"/>
  <c r="AS63" i="25"/>
  <c r="AR63" i="25"/>
  <c r="AQ63" i="25"/>
  <c r="AP63" i="25"/>
  <c r="AO63" i="25"/>
  <c r="AN63" i="25"/>
  <c r="AM63" i="25"/>
  <c r="AL63" i="25"/>
  <c r="AY62" i="25"/>
  <c r="AY61" i="25"/>
  <c r="AY60" i="25"/>
  <c r="AZ58" i="25"/>
  <c r="AW58" i="25"/>
  <c r="AV58" i="25"/>
  <c r="AU58" i="25"/>
  <c r="AT58" i="25"/>
  <c r="AS58" i="25"/>
  <c r="AR58" i="25"/>
  <c r="AQ58" i="25"/>
  <c r="AP58" i="25"/>
  <c r="AO58" i="25"/>
  <c r="AN58" i="25"/>
  <c r="AM58" i="25"/>
  <c r="AL58" i="25"/>
  <c r="BA57" i="25"/>
  <c r="AY57" i="25"/>
  <c r="BA56" i="25"/>
  <c r="AY56" i="25"/>
  <c r="BA54" i="25"/>
  <c r="AZ54" i="25"/>
  <c r="AW54" i="25"/>
  <c r="AV54" i="25"/>
  <c r="AU54" i="25"/>
  <c r="AT54" i="25"/>
  <c r="AS54" i="25"/>
  <c r="AR54" i="25"/>
  <c r="AQ54" i="25"/>
  <c r="AP54" i="25"/>
  <c r="AO54" i="25"/>
  <c r="AN54" i="25"/>
  <c r="AM54" i="25"/>
  <c r="AL54" i="25"/>
  <c r="AY53" i="25"/>
  <c r="AY52" i="25"/>
  <c r="BA48" i="25"/>
  <c r="AZ48" i="25"/>
  <c r="AW48" i="25"/>
  <c r="AV48" i="25"/>
  <c r="AU48" i="25"/>
  <c r="AT48" i="25"/>
  <c r="AS48" i="25"/>
  <c r="AR48" i="25"/>
  <c r="AQ48" i="25"/>
  <c r="AP48" i="25"/>
  <c r="AO48" i="25"/>
  <c r="AN48" i="25"/>
  <c r="AM48" i="25"/>
  <c r="AL48" i="25"/>
  <c r="AY47" i="25"/>
  <c r="AY46" i="25"/>
  <c r="AY45" i="25"/>
  <c r="AY44" i="25"/>
  <c r="AY43" i="25"/>
  <c r="BA38" i="25"/>
  <c r="AZ38" i="25"/>
  <c r="AW38" i="25"/>
  <c r="AV38" i="25"/>
  <c r="AU38" i="25"/>
  <c r="AT38" i="25"/>
  <c r="AS38" i="25"/>
  <c r="AR38" i="25"/>
  <c r="AQ38" i="25"/>
  <c r="AP38" i="25"/>
  <c r="AO38" i="25"/>
  <c r="AN38" i="25"/>
  <c r="AM38" i="25"/>
  <c r="AL38" i="25"/>
  <c r="AY37" i="25"/>
  <c r="BA34" i="25"/>
  <c r="AZ34" i="25"/>
  <c r="AW34" i="25"/>
  <c r="AV34" i="25"/>
  <c r="AU34" i="25"/>
  <c r="AT34" i="25"/>
  <c r="AS34" i="25"/>
  <c r="AR34" i="25"/>
  <c r="AQ34" i="25"/>
  <c r="AP34" i="25"/>
  <c r="AO34" i="25"/>
  <c r="AN34" i="25"/>
  <c r="AM34" i="25"/>
  <c r="AL34" i="25"/>
  <c r="AY33" i="25"/>
  <c r="AY32" i="25"/>
  <c r="AY31" i="25"/>
  <c r="AY30" i="25"/>
  <c r="AY29" i="25"/>
  <c r="AY28" i="25"/>
  <c r="AY27" i="25"/>
  <c r="AY26" i="25"/>
  <c r="AY25" i="25"/>
  <c r="AY24" i="25"/>
  <c r="BA22" i="25"/>
  <c r="AZ22" i="25"/>
  <c r="AW22" i="25"/>
  <c r="AV22" i="25"/>
  <c r="AU22" i="25"/>
  <c r="AT22" i="25"/>
  <c r="AS22" i="25"/>
  <c r="AR22" i="25"/>
  <c r="AQ22" i="25"/>
  <c r="AP22" i="25"/>
  <c r="AO22" i="25"/>
  <c r="AN22" i="25"/>
  <c r="AM22" i="25"/>
  <c r="AL22" i="25"/>
  <c r="AY21" i="25"/>
  <c r="AY20" i="25"/>
  <c r="AY19" i="25"/>
  <c r="AY18" i="25"/>
  <c r="AY17" i="25"/>
  <c r="BA15" i="25"/>
  <c r="AZ15" i="25"/>
  <c r="AW15" i="25"/>
  <c r="AV15" i="25"/>
  <c r="AU15" i="25"/>
  <c r="AT15" i="25"/>
  <c r="AS15" i="25"/>
  <c r="AR15" i="25"/>
  <c r="AQ15" i="25"/>
  <c r="AP15" i="25"/>
  <c r="AO15" i="25"/>
  <c r="AN15" i="25"/>
  <c r="AM15" i="25"/>
  <c r="AL15" i="25"/>
  <c r="AY14" i="25"/>
  <c r="AY13" i="25"/>
  <c r="AY12" i="25"/>
  <c r="AY11" i="25"/>
  <c r="AY10" i="25"/>
  <c r="AY9" i="25"/>
  <c r="AY8" i="25"/>
  <c r="AY6" i="25"/>
  <c r="AY5" i="25"/>
  <c r="W149" i="34" l="1"/>
  <c r="L171" i="34"/>
  <c r="R171" i="34"/>
  <c r="I149" i="34"/>
  <c r="O149" i="34"/>
  <c r="AG28" i="34"/>
  <c r="AA28" i="34"/>
  <c r="AF28" i="34"/>
  <c r="Z28" i="34"/>
  <c r="AE28" i="34"/>
  <c r="Y28" i="34"/>
  <c r="AD28" i="34"/>
  <c r="AI28" i="34"/>
  <c r="AC28" i="34"/>
  <c r="AH28" i="34"/>
  <c r="AB28" i="34"/>
  <c r="W15" i="34"/>
  <c r="AH5" i="34"/>
  <c r="AB5" i="34"/>
  <c r="AG5" i="34"/>
  <c r="AA5" i="34"/>
  <c r="AF5" i="34"/>
  <c r="Z5" i="34"/>
  <c r="AE5" i="34"/>
  <c r="Y5" i="34"/>
  <c r="AD5" i="34"/>
  <c r="AI5" i="34"/>
  <c r="AC5" i="34"/>
  <c r="K149" i="34"/>
  <c r="W22" i="34"/>
  <c r="AH18" i="34"/>
  <c r="AB18" i="34"/>
  <c r="AG18" i="34"/>
  <c r="AA18" i="34"/>
  <c r="AF18" i="34"/>
  <c r="Z18" i="34"/>
  <c r="AE18" i="34"/>
  <c r="Y18" i="34"/>
  <c r="AD18" i="34"/>
  <c r="AI18" i="34"/>
  <c r="AC18" i="34"/>
  <c r="W155" i="34"/>
  <c r="AF27" i="34"/>
  <c r="Z27" i="34"/>
  <c r="AE27" i="34"/>
  <c r="Y27" i="34"/>
  <c r="AD27" i="34"/>
  <c r="AI27" i="34"/>
  <c r="AC27" i="34"/>
  <c r="AH27" i="34"/>
  <c r="AB27" i="34"/>
  <c r="AG27" i="34"/>
  <c r="AA27" i="34"/>
  <c r="AI38" i="34"/>
  <c r="AC38" i="34"/>
  <c r="AH38" i="34"/>
  <c r="AB38" i="34"/>
  <c r="AG38" i="34"/>
  <c r="AA38" i="34"/>
  <c r="AF38" i="34"/>
  <c r="Z38" i="34"/>
  <c r="AE38" i="34"/>
  <c r="Y38" i="34"/>
  <c r="AD38" i="34"/>
  <c r="V35" i="34"/>
  <c r="V39" i="34" s="1"/>
  <c r="J171" i="34"/>
  <c r="P171" i="34"/>
  <c r="U170" i="34"/>
  <c r="I35" i="34"/>
  <c r="I39" i="34" s="1"/>
  <c r="O35" i="34"/>
  <c r="O39" i="34" s="1"/>
  <c r="M71" i="34"/>
  <c r="S71" i="34"/>
  <c r="M171" i="34"/>
  <c r="S171" i="34"/>
  <c r="J71" i="34"/>
  <c r="P71" i="34"/>
  <c r="J149" i="34"/>
  <c r="P149" i="34"/>
  <c r="M35" i="34"/>
  <c r="M39" i="34" s="1"/>
  <c r="Q149" i="34"/>
  <c r="N149" i="34"/>
  <c r="H35" i="34"/>
  <c r="H39" i="34" s="1"/>
  <c r="N35" i="34"/>
  <c r="N39" i="34" s="1"/>
  <c r="W34" i="34"/>
  <c r="L71" i="34"/>
  <c r="R71" i="34"/>
  <c r="U60" i="34"/>
  <c r="U70" i="34"/>
  <c r="R149" i="34"/>
  <c r="I71" i="34"/>
  <c r="O71" i="34"/>
  <c r="W71" i="34"/>
  <c r="K35" i="34"/>
  <c r="K39" i="34" s="1"/>
  <c r="Q35" i="34"/>
  <c r="Q39" i="34" s="1"/>
  <c r="M149" i="34"/>
  <c r="H149" i="34"/>
  <c r="K171" i="34"/>
  <c r="Q171" i="34"/>
  <c r="J35" i="34"/>
  <c r="J39" i="34" s="1"/>
  <c r="P35" i="34"/>
  <c r="P39" i="34" s="1"/>
  <c r="U22" i="34"/>
  <c r="U38" i="34"/>
  <c r="H71" i="34"/>
  <c r="N71" i="34"/>
  <c r="V71" i="34"/>
  <c r="U52" i="34"/>
  <c r="U56" i="34"/>
  <c r="U76" i="34"/>
  <c r="V149" i="34"/>
  <c r="U65" i="34"/>
  <c r="L35" i="34"/>
  <c r="L39" i="34" s="1"/>
  <c r="R35" i="34"/>
  <c r="R39" i="34" s="1"/>
  <c r="H171" i="34"/>
  <c r="N171" i="34"/>
  <c r="V171" i="34"/>
  <c r="U165" i="34"/>
  <c r="U182" i="34"/>
  <c r="S34" i="34"/>
  <c r="U34" i="34" s="1"/>
  <c r="K71" i="34"/>
  <c r="Q71" i="34"/>
  <c r="U110" i="34"/>
  <c r="L149" i="34"/>
  <c r="U155" i="34"/>
  <c r="S149" i="34"/>
  <c r="U124" i="34"/>
  <c r="U148" i="34"/>
  <c r="U47" i="34"/>
  <c r="H183" i="34"/>
  <c r="U183" i="34" s="1"/>
  <c r="U15" i="34"/>
  <c r="U24" i="34"/>
  <c r="U153" i="34"/>
  <c r="U137" i="34"/>
  <c r="U162" i="34"/>
  <c r="W172" i="34"/>
  <c r="I184" i="33"/>
  <c r="O184" i="33"/>
  <c r="AR180" i="33"/>
  <c r="AR187" i="33" s="1"/>
  <c r="AZ180" i="33"/>
  <c r="AZ187" i="33" s="1"/>
  <c r="V184" i="33"/>
  <c r="W35" i="33"/>
  <c r="W39" i="33" s="1"/>
  <c r="M176" i="33"/>
  <c r="M184" i="33" s="1"/>
  <c r="S35" i="33"/>
  <c r="S39" i="33" s="1"/>
  <c r="S176" i="33" s="1"/>
  <c r="S184" i="33" s="1"/>
  <c r="H39" i="33"/>
  <c r="N176" i="33"/>
  <c r="N184" i="33" s="1"/>
  <c r="J175" i="33"/>
  <c r="P175" i="33"/>
  <c r="AQ179" i="33"/>
  <c r="AW179" i="33"/>
  <c r="AW180" i="33" s="1"/>
  <c r="AW187" i="33" s="1"/>
  <c r="U171" i="33"/>
  <c r="J176" i="33"/>
  <c r="J184" i="33" s="1"/>
  <c r="AQ180" i="33"/>
  <c r="AQ187" i="33" s="1"/>
  <c r="K175" i="33"/>
  <c r="Q175" i="33"/>
  <c r="AO179" i="33"/>
  <c r="AO180" i="33" s="1"/>
  <c r="AO187" i="33" s="1"/>
  <c r="AU179" i="33"/>
  <c r="AM179" i="33"/>
  <c r="AM180" i="33" s="1"/>
  <c r="AM187" i="33" s="1"/>
  <c r="AS179" i="33"/>
  <c r="BA71" i="33"/>
  <c r="BA179" i="33" s="1"/>
  <c r="AY171" i="33"/>
  <c r="AS180" i="33"/>
  <c r="AS187" i="33" s="1"/>
  <c r="AU180" i="33"/>
  <c r="AU187" i="33" s="1"/>
  <c r="P176" i="33"/>
  <c r="P184" i="33" s="1"/>
  <c r="K176" i="33"/>
  <c r="K184" i="33" s="1"/>
  <c r="Q176" i="33"/>
  <c r="Q184" i="33" s="1"/>
  <c r="AN180" i="33"/>
  <c r="AN187" i="33" s="1"/>
  <c r="AT180" i="33"/>
  <c r="AT187" i="33" s="1"/>
  <c r="U71" i="33"/>
  <c r="U155" i="33"/>
  <c r="BA180" i="33"/>
  <c r="BA187" i="33" s="1"/>
  <c r="L176" i="33"/>
  <c r="L184" i="33" s="1"/>
  <c r="R176" i="33"/>
  <c r="R184" i="33" s="1"/>
  <c r="W175" i="33"/>
  <c r="AP179" i="33"/>
  <c r="AP180" i="33" s="1"/>
  <c r="AP187" i="33" s="1"/>
  <c r="AV179" i="33"/>
  <c r="AV180" i="33" s="1"/>
  <c r="AV187" i="33" s="1"/>
  <c r="AL35" i="33"/>
  <c r="AL71" i="33"/>
  <c r="H149" i="33"/>
  <c r="U149" i="33" s="1"/>
  <c r="AY162" i="33"/>
  <c r="AL186" i="33"/>
  <c r="AY186" i="33" s="1"/>
  <c r="AL149" i="33"/>
  <c r="AY149" i="33" s="1"/>
  <c r="AL155" i="33"/>
  <c r="AY155" i="33" s="1"/>
  <c r="H183" i="33"/>
  <c r="U183" i="33" s="1"/>
  <c r="U34" i="33"/>
  <c r="U52" i="33"/>
  <c r="U162" i="33"/>
  <c r="W172" i="33"/>
  <c r="U24" i="33"/>
  <c r="V176" i="32"/>
  <c r="V184" i="32" s="1"/>
  <c r="AQ180" i="32"/>
  <c r="AQ187" i="32" s="1"/>
  <c r="AW180" i="32"/>
  <c r="AW187" i="32" s="1"/>
  <c r="K175" i="32"/>
  <c r="Q175" i="32"/>
  <c r="AR179" i="32"/>
  <c r="AR180" i="32" s="1"/>
  <c r="AR187" i="32" s="1"/>
  <c r="AZ179" i="32"/>
  <c r="AZ180" i="32" s="1"/>
  <c r="AZ187" i="32" s="1"/>
  <c r="I176" i="32"/>
  <c r="I184" i="32" s="1"/>
  <c r="O176" i="32"/>
  <c r="O184" i="32" s="1"/>
  <c r="R175" i="32"/>
  <c r="R176" i="32" s="1"/>
  <c r="R184" i="32" s="1"/>
  <c r="AM179" i="32"/>
  <c r="AM180" i="32" s="1"/>
  <c r="AM187" i="32" s="1"/>
  <c r="AS179" i="32"/>
  <c r="AS180" i="32" s="1"/>
  <c r="AS187" i="32" s="1"/>
  <c r="BA179" i="32"/>
  <c r="AO179" i="32"/>
  <c r="AU179" i="32"/>
  <c r="U171" i="32"/>
  <c r="J176" i="32"/>
  <c r="J184" i="32" s="1"/>
  <c r="P176" i="32"/>
  <c r="P184" i="32" s="1"/>
  <c r="BA180" i="32"/>
  <c r="BA187" i="32" s="1"/>
  <c r="AO180" i="32"/>
  <c r="AO187" i="32" s="1"/>
  <c r="AU180" i="32"/>
  <c r="AU187" i="32" s="1"/>
  <c r="M175" i="32"/>
  <c r="M176" i="32" s="1"/>
  <c r="M184" i="32" s="1"/>
  <c r="S175" i="32"/>
  <c r="AN179" i="32"/>
  <c r="AN180" i="32" s="1"/>
  <c r="AN187" i="32" s="1"/>
  <c r="AT179" i="32"/>
  <c r="AT180" i="32" s="1"/>
  <c r="AT187" i="32" s="1"/>
  <c r="L149" i="32"/>
  <c r="L175" i="32" s="1"/>
  <c r="L176" i="32" s="1"/>
  <c r="L184" i="32" s="1"/>
  <c r="K176" i="32"/>
  <c r="K184" i="32" s="1"/>
  <c r="Q176" i="32"/>
  <c r="Q184" i="32" s="1"/>
  <c r="U71" i="32"/>
  <c r="U155" i="32"/>
  <c r="AY171" i="32"/>
  <c r="W175" i="32"/>
  <c r="W176" i="32"/>
  <c r="W184" i="32" s="1"/>
  <c r="S176" i="32"/>
  <c r="S184" i="32" s="1"/>
  <c r="AL35" i="32"/>
  <c r="AL71" i="32"/>
  <c r="H149" i="32"/>
  <c r="AY162" i="32"/>
  <c r="AL186" i="32"/>
  <c r="AY186" i="32" s="1"/>
  <c r="H35" i="32"/>
  <c r="AL155" i="32"/>
  <c r="AY155" i="32" s="1"/>
  <c r="H183" i="32"/>
  <c r="U183" i="32" s="1"/>
  <c r="AL149" i="32"/>
  <c r="AY149" i="32" s="1"/>
  <c r="U24" i="32"/>
  <c r="U153" i="32"/>
  <c r="U162" i="32"/>
  <c r="W172" i="32"/>
  <c r="W71" i="31"/>
  <c r="W35" i="31"/>
  <c r="W39" i="31" s="1"/>
  <c r="AS180" i="31"/>
  <c r="AS187" i="31" s="1"/>
  <c r="L176" i="31"/>
  <c r="L184" i="31" s="1"/>
  <c r="R176" i="31"/>
  <c r="R184" i="31" s="1"/>
  <c r="U71" i="31"/>
  <c r="U171" i="31"/>
  <c r="AP179" i="31"/>
  <c r="AP180" i="31" s="1"/>
  <c r="AP187" i="31" s="1"/>
  <c r="AV179" i="31"/>
  <c r="AV180" i="31" s="1"/>
  <c r="AV187" i="31" s="1"/>
  <c r="O175" i="31"/>
  <c r="H39" i="31"/>
  <c r="U35" i="31"/>
  <c r="N176" i="31"/>
  <c r="N184" i="31" s="1"/>
  <c r="V184" i="31"/>
  <c r="AQ180" i="31"/>
  <c r="AQ187" i="31" s="1"/>
  <c r="U34" i="31"/>
  <c r="AQ179" i="31"/>
  <c r="AW179" i="31"/>
  <c r="AW180" i="31" s="1"/>
  <c r="AW187" i="31" s="1"/>
  <c r="AY171" i="31"/>
  <c r="I175" i="31"/>
  <c r="I176" i="31"/>
  <c r="I184" i="31" s="1"/>
  <c r="O176" i="31"/>
  <c r="O184" i="31" s="1"/>
  <c r="AR187" i="31"/>
  <c r="AZ187" i="31"/>
  <c r="K175" i="31"/>
  <c r="K176" i="31" s="1"/>
  <c r="K184" i="31" s="1"/>
  <c r="Q175" i="31"/>
  <c r="U155" i="31"/>
  <c r="AM180" i="31"/>
  <c r="AM187" i="31" s="1"/>
  <c r="Q176" i="31"/>
  <c r="Q184" i="31" s="1"/>
  <c r="S175" i="31"/>
  <c r="S176" i="31" s="1"/>
  <c r="S184" i="31" s="1"/>
  <c r="AN179" i="31"/>
  <c r="AN180" i="31" s="1"/>
  <c r="AN187" i="31" s="1"/>
  <c r="AT179" i="31"/>
  <c r="AT180" i="31" s="1"/>
  <c r="AT187" i="31" s="1"/>
  <c r="S149" i="31"/>
  <c r="AL35" i="31"/>
  <c r="AL71" i="31"/>
  <c r="U110" i="31"/>
  <c r="H149" i="31"/>
  <c r="U149" i="31" s="1"/>
  <c r="AY162" i="31"/>
  <c r="AL186" i="31"/>
  <c r="AY186" i="31" s="1"/>
  <c r="U47" i="31"/>
  <c r="AL155" i="31"/>
  <c r="AY155" i="31" s="1"/>
  <c r="H183" i="31"/>
  <c r="U183" i="31" s="1"/>
  <c r="U15" i="31"/>
  <c r="U153" i="31"/>
  <c r="U137" i="31"/>
  <c r="AL149" i="31"/>
  <c r="AY149" i="31" s="1"/>
  <c r="U162" i="31"/>
  <c r="AL39" i="30"/>
  <c r="W35" i="30"/>
  <c r="W39" i="30" s="1"/>
  <c r="M176" i="30"/>
  <c r="M184" i="30" s="1"/>
  <c r="S176" i="30"/>
  <c r="S184" i="30" s="1"/>
  <c r="AM179" i="30"/>
  <c r="AS179" i="30"/>
  <c r="BA179" i="30"/>
  <c r="R175" i="30"/>
  <c r="R176" i="30" s="1"/>
  <c r="R184" i="30" s="1"/>
  <c r="L149" i="30"/>
  <c r="U149" i="30" s="1"/>
  <c r="R149" i="30"/>
  <c r="AY155" i="30"/>
  <c r="U183" i="30"/>
  <c r="AO180" i="30"/>
  <c r="AO187" i="30" s="1"/>
  <c r="AY34" i="30"/>
  <c r="H175" i="30"/>
  <c r="U71" i="30"/>
  <c r="N175" i="30"/>
  <c r="N176" i="30" s="1"/>
  <c r="N184" i="30" s="1"/>
  <c r="V175" i="30"/>
  <c r="V176" i="30" s="1"/>
  <c r="V184" i="30" s="1"/>
  <c r="AO179" i="30"/>
  <c r="AU179" i="30"/>
  <c r="AU180" i="30" s="1"/>
  <c r="AU187" i="30" s="1"/>
  <c r="U52" i="30"/>
  <c r="AY60" i="30"/>
  <c r="U76" i="30"/>
  <c r="AZ179" i="30"/>
  <c r="AZ180" i="30" s="1"/>
  <c r="AZ187" i="30" s="1"/>
  <c r="AY162" i="30"/>
  <c r="H39" i="30"/>
  <c r="U35" i="30"/>
  <c r="AN179" i="30"/>
  <c r="AT179" i="30"/>
  <c r="AL179" i="30"/>
  <c r="U124" i="30"/>
  <c r="U155" i="30"/>
  <c r="J176" i="30"/>
  <c r="J184" i="30" s="1"/>
  <c r="P176" i="30"/>
  <c r="P184" i="30" s="1"/>
  <c r="AM180" i="30"/>
  <c r="AM187" i="30" s="1"/>
  <c r="AS180" i="30"/>
  <c r="AS187" i="30" s="1"/>
  <c r="BA35" i="30"/>
  <c r="BA39" i="30" s="1"/>
  <c r="U22" i="30"/>
  <c r="W71" i="30"/>
  <c r="W175" i="30" s="1"/>
  <c r="AP179" i="30"/>
  <c r="AP180" i="30" s="1"/>
  <c r="AP187" i="30" s="1"/>
  <c r="AV179" i="30"/>
  <c r="AV180" i="30" s="1"/>
  <c r="AV187" i="30" s="1"/>
  <c r="U65" i="30"/>
  <c r="AN35" i="30"/>
  <c r="AN39" i="30" s="1"/>
  <c r="AN180" i="30" s="1"/>
  <c r="AN187" i="30" s="1"/>
  <c r="AT35" i="30"/>
  <c r="AT39" i="30" s="1"/>
  <c r="AT180" i="30" s="1"/>
  <c r="AT187" i="30" s="1"/>
  <c r="AY22" i="30"/>
  <c r="J71" i="30"/>
  <c r="J175" i="30" s="1"/>
  <c r="P71" i="30"/>
  <c r="P175" i="30" s="1"/>
  <c r="AQ71" i="30"/>
  <c r="AQ179" i="30" s="1"/>
  <c r="AQ180" i="30" s="1"/>
  <c r="AQ187" i="30" s="1"/>
  <c r="AW71" i="30"/>
  <c r="AW179" i="30" s="1"/>
  <c r="AW180" i="30" s="1"/>
  <c r="AW187" i="30" s="1"/>
  <c r="AY56" i="30"/>
  <c r="AY76" i="30"/>
  <c r="AZ149" i="30"/>
  <c r="AY148" i="30"/>
  <c r="I171" i="30"/>
  <c r="U171" i="30" s="1"/>
  <c r="O171" i="30"/>
  <c r="O175" i="30" s="1"/>
  <c r="O176" i="30" s="1"/>
  <c r="O184" i="30" s="1"/>
  <c r="U165" i="30"/>
  <c r="AY186" i="30"/>
  <c r="U15" i="30"/>
  <c r="U24" i="30"/>
  <c r="U153" i="30"/>
  <c r="U47" i="30"/>
  <c r="U137" i="30"/>
  <c r="AL149" i="30"/>
  <c r="AY149" i="30" s="1"/>
  <c r="U162" i="30"/>
  <c r="W172" i="30"/>
  <c r="L149" i="29"/>
  <c r="L175" i="29" s="1"/>
  <c r="L176" i="29" s="1"/>
  <c r="L184" i="29" s="1"/>
  <c r="S149" i="29"/>
  <c r="S175" i="29" s="1"/>
  <c r="U34" i="29"/>
  <c r="S35" i="29"/>
  <c r="S39" i="29" s="1"/>
  <c r="U182" i="29"/>
  <c r="U165" i="29"/>
  <c r="R149" i="29"/>
  <c r="U70" i="29"/>
  <c r="U65" i="29"/>
  <c r="R71" i="29"/>
  <c r="U60" i="29"/>
  <c r="U47" i="29"/>
  <c r="U22" i="29"/>
  <c r="R35" i="29"/>
  <c r="R39" i="29" s="1"/>
  <c r="U15" i="29"/>
  <c r="U155" i="29"/>
  <c r="U148" i="29"/>
  <c r="U124" i="29"/>
  <c r="Q149" i="29"/>
  <c r="Q175" i="29" s="1"/>
  <c r="Q176" i="29" s="1"/>
  <c r="Q184" i="29" s="1"/>
  <c r="W35" i="29"/>
  <c r="W39" i="29" s="1"/>
  <c r="W71" i="29"/>
  <c r="W149" i="29"/>
  <c r="W175" i="29" s="1"/>
  <c r="AN180" i="29"/>
  <c r="AN187" i="29" s="1"/>
  <c r="AT180" i="29"/>
  <c r="AT187" i="29" s="1"/>
  <c r="J175" i="29"/>
  <c r="J176" i="29" s="1"/>
  <c r="J184" i="29" s="1"/>
  <c r="P175" i="29"/>
  <c r="AQ179" i="29"/>
  <c r="AW179" i="29"/>
  <c r="AW180" i="29" s="1"/>
  <c r="AW187" i="29" s="1"/>
  <c r="AY149" i="29"/>
  <c r="AO180" i="29"/>
  <c r="AO187" i="29" s="1"/>
  <c r="AU180" i="29"/>
  <c r="AU187" i="29" s="1"/>
  <c r="AY71" i="29"/>
  <c r="AO179" i="29"/>
  <c r="AU179" i="29"/>
  <c r="U171" i="29"/>
  <c r="AQ180" i="29"/>
  <c r="AQ187" i="29" s="1"/>
  <c r="P176" i="29"/>
  <c r="P184" i="29" s="1"/>
  <c r="AL39" i="29"/>
  <c r="AY35" i="29"/>
  <c r="H175" i="29"/>
  <c r="AY76" i="29"/>
  <c r="H149" i="29"/>
  <c r="AY162" i="29"/>
  <c r="AL186" i="29"/>
  <c r="AY186" i="29" s="1"/>
  <c r="AY50" i="29"/>
  <c r="AL155" i="29"/>
  <c r="AY155" i="29" s="1"/>
  <c r="H183" i="29"/>
  <c r="U183" i="29" s="1"/>
  <c r="H35" i="29"/>
  <c r="U52" i="29"/>
  <c r="AY15" i="29"/>
  <c r="U153" i="29"/>
  <c r="U162" i="29"/>
  <c r="J71" i="28"/>
  <c r="P71" i="28"/>
  <c r="AZ71" i="28"/>
  <c r="AL149" i="28"/>
  <c r="AR149" i="28"/>
  <c r="I171" i="28"/>
  <c r="O171" i="28"/>
  <c r="K149" i="28"/>
  <c r="Q149" i="28"/>
  <c r="BA149" i="28"/>
  <c r="AM71" i="28"/>
  <c r="AS71" i="28"/>
  <c r="AS179" i="28" s="1"/>
  <c r="AS180" i="28" s="1"/>
  <c r="AS187" i="28" s="1"/>
  <c r="U60" i="28"/>
  <c r="U70" i="28"/>
  <c r="U124" i="28"/>
  <c r="I35" i="28"/>
  <c r="I39" i="28" s="1"/>
  <c r="O35" i="28"/>
  <c r="O39" i="28" s="1"/>
  <c r="W35" i="28"/>
  <c r="W39" i="28" s="1"/>
  <c r="AQ35" i="28"/>
  <c r="AQ39" i="28" s="1"/>
  <c r="AW35" i="28"/>
  <c r="AW39" i="28" s="1"/>
  <c r="L171" i="28"/>
  <c r="R171" i="28"/>
  <c r="AN171" i="28"/>
  <c r="AT171" i="28"/>
  <c r="AT179" i="28" s="1"/>
  <c r="AT180" i="28" s="1"/>
  <c r="AT187" i="28" s="1"/>
  <c r="AY170" i="28"/>
  <c r="BA60" i="28"/>
  <c r="BA71" i="28" s="1"/>
  <c r="S71" i="28"/>
  <c r="S175" i="28" s="1"/>
  <c r="AU149" i="28"/>
  <c r="AO149" i="28"/>
  <c r="U22" i="28"/>
  <c r="U34" i="28"/>
  <c r="U38" i="28"/>
  <c r="U47" i="28"/>
  <c r="V71" i="28"/>
  <c r="AO71" i="28"/>
  <c r="AO179" i="28" s="1"/>
  <c r="AU71" i="28"/>
  <c r="H71" i="28"/>
  <c r="N71" i="28"/>
  <c r="U56" i="28"/>
  <c r="AY60" i="28"/>
  <c r="AY70" i="28"/>
  <c r="AR71" i="28"/>
  <c r="U76" i="28"/>
  <c r="N149" i="28"/>
  <c r="V149" i="28"/>
  <c r="AP149" i="28"/>
  <c r="AV149" i="28"/>
  <c r="AY124" i="28"/>
  <c r="W149" i="28"/>
  <c r="AQ149" i="28"/>
  <c r="AW149" i="28"/>
  <c r="U165" i="28"/>
  <c r="AY185" i="28"/>
  <c r="I71" i="28"/>
  <c r="O71" i="28"/>
  <c r="W71" i="28"/>
  <c r="AP71" i="28"/>
  <c r="AV71" i="28"/>
  <c r="AQ71" i="28"/>
  <c r="AW71" i="28"/>
  <c r="U65" i="28"/>
  <c r="I149" i="28"/>
  <c r="O149" i="28"/>
  <c r="J149" i="28"/>
  <c r="P149" i="28"/>
  <c r="P175" i="28" s="1"/>
  <c r="P176" i="28" s="1"/>
  <c r="P184" i="28" s="1"/>
  <c r="AY148" i="28"/>
  <c r="AZ149" i="28"/>
  <c r="AY153" i="28"/>
  <c r="W171" i="28"/>
  <c r="AQ171" i="28"/>
  <c r="AW171" i="28"/>
  <c r="U182" i="28"/>
  <c r="S149" i="28"/>
  <c r="L35" i="28"/>
  <c r="L39" i="28" s="1"/>
  <c r="R35" i="28"/>
  <c r="R39" i="28" s="1"/>
  <c r="AN35" i="28"/>
  <c r="AN39" i="28" s="1"/>
  <c r="AT35" i="28"/>
  <c r="AT39" i="28" s="1"/>
  <c r="AY22" i="28"/>
  <c r="AY34" i="28"/>
  <c r="AY38" i="28"/>
  <c r="AY56" i="28"/>
  <c r="AN71" i="28"/>
  <c r="AT71" i="28"/>
  <c r="AM149" i="28"/>
  <c r="AS149" i="28"/>
  <c r="J171" i="28"/>
  <c r="J175" i="28" s="1"/>
  <c r="J176" i="28" s="1"/>
  <c r="J184" i="28" s="1"/>
  <c r="P171" i="28"/>
  <c r="AL171" i="28"/>
  <c r="AR171" i="28"/>
  <c r="AZ171" i="28"/>
  <c r="AZ179" i="28" s="1"/>
  <c r="AZ180" i="28" s="1"/>
  <c r="AZ187" i="28" s="1"/>
  <c r="AY165" i="28"/>
  <c r="U170" i="28"/>
  <c r="M71" i="28"/>
  <c r="M175" i="28" s="1"/>
  <c r="M176" i="28" s="1"/>
  <c r="M184" i="28" s="1"/>
  <c r="M149" i="28"/>
  <c r="U148" i="28"/>
  <c r="U153" i="28"/>
  <c r="H155" i="28"/>
  <c r="M35" i="28"/>
  <c r="M39" i="28" s="1"/>
  <c r="S35" i="28"/>
  <c r="S39" i="28" s="1"/>
  <c r="S176" i="28" s="1"/>
  <c r="S184" i="28" s="1"/>
  <c r="AO35" i="28"/>
  <c r="AO39" i="28" s="1"/>
  <c r="AU35" i="28"/>
  <c r="AU39" i="28" s="1"/>
  <c r="AY50" i="28"/>
  <c r="K71" i="28"/>
  <c r="Q71" i="28"/>
  <c r="AY65" i="28"/>
  <c r="L149" i="28"/>
  <c r="L175" i="28" s="1"/>
  <c r="R149" i="28"/>
  <c r="R175" i="28" s="1"/>
  <c r="K171" i="28"/>
  <c r="Q171" i="28"/>
  <c r="AM171" i="28"/>
  <c r="AS171" i="28"/>
  <c r="BA171" i="28"/>
  <c r="U155" i="28"/>
  <c r="H39" i="28"/>
  <c r="AL39" i="28"/>
  <c r="AN179" i="28"/>
  <c r="AY186" i="28"/>
  <c r="U183" i="28"/>
  <c r="U15" i="28"/>
  <c r="AY76" i="28"/>
  <c r="H149" i="28"/>
  <c r="AY162" i="28"/>
  <c r="AL155" i="28"/>
  <c r="AY155" i="28" s="1"/>
  <c r="AL71" i="28"/>
  <c r="AY15" i="28"/>
  <c r="U162" i="28"/>
  <c r="U52" i="28"/>
  <c r="W69" i="25"/>
  <c r="W121" i="25"/>
  <c r="W35" i="25"/>
  <c r="W39" i="25" s="1"/>
  <c r="W143" i="25"/>
  <c r="V179" i="27"/>
  <c r="V186" i="27" s="1"/>
  <c r="O179" i="27"/>
  <c r="O186" i="27" s="1"/>
  <c r="R178" i="27"/>
  <c r="R179" i="27" s="1"/>
  <c r="R186" i="27" s="1"/>
  <c r="P179" i="27"/>
  <c r="P186" i="27" s="1"/>
  <c r="U179" i="27"/>
  <c r="U186" i="27" s="1"/>
  <c r="Z178" i="27"/>
  <c r="Z179" i="27" s="1"/>
  <c r="Z186" i="27" s="1"/>
  <c r="V178" i="27"/>
  <c r="Y179" i="27"/>
  <c r="Y186" i="27" s="1"/>
  <c r="X155" i="27"/>
  <c r="K38" i="27"/>
  <c r="X34" i="27"/>
  <c r="P178" i="27"/>
  <c r="O178" i="27"/>
  <c r="S179" i="27"/>
  <c r="S186" i="27" s="1"/>
  <c r="Q178" i="27"/>
  <c r="Q179" i="27" s="1"/>
  <c r="Q186" i="27" s="1"/>
  <c r="T179" i="27"/>
  <c r="T186" i="27" s="1"/>
  <c r="M179" i="27"/>
  <c r="M186" i="27" s="1"/>
  <c r="X62" i="27"/>
  <c r="X124" i="27"/>
  <c r="K171" i="27"/>
  <c r="X171" i="27" s="1"/>
  <c r="K185" i="27"/>
  <c r="X185" i="27" s="1"/>
  <c r="L68" i="27"/>
  <c r="L178" i="27" s="1"/>
  <c r="L179" i="27" s="1"/>
  <c r="L186" i="27" s="1"/>
  <c r="X153" i="27"/>
  <c r="X148" i="27"/>
  <c r="X14" i="27"/>
  <c r="AW69" i="25"/>
  <c r="AL143" i="25"/>
  <c r="AP35" i="25"/>
  <c r="AP39" i="25" s="1"/>
  <c r="AW35" i="25"/>
  <c r="AW39" i="25" s="1"/>
  <c r="BA143" i="25"/>
  <c r="AV143" i="25"/>
  <c r="AQ121" i="25"/>
  <c r="AO35" i="25"/>
  <c r="AO39" i="25" s="1"/>
  <c r="AR69" i="25"/>
  <c r="AS69" i="25"/>
  <c r="AP121" i="25"/>
  <c r="BA121" i="25"/>
  <c r="AL35" i="25"/>
  <c r="AL39" i="25" s="1"/>
  <c r="AO69" i="25"/>
  <c r="AM35" i="25"/>
  <c r="AM39" i="25" s="1"/>
  <c r="AP69" i="25"/>
  <c r="AM121" i="25"/>
  <c r="AN35" i="25"/>
  <c r="AN39" i="25" s="1"/>
  <c r="AQ69" i="25"/>
  <c r="AS35" i="25"/>
  <c r="AS39" i="25" s="1"/>
  <c r="AN143" i="25"/>
  <c r="AY157" i="25"/>
  <c r="AY48" i="25"/>
  <c r="AY54" i="25"/>
  <c r="AY107" i="25"/>
  <c r="AS143" i="25"/>
  <c r="AU143" i="25"/>
  <c r="AO121" i="25"/>
  <c r="AT69" i="25"/>
  <c r="AR35" i="25"/>
  <c r="AR39" i="25" s="1"/>
  <c r="AU69" i="25"/>
  <c r="AV69" i="25"/>
  <c r="AP143" i="25"/>
  <c r="AM69" i="25"/>
  <c r="AN69" i="25"/>
  <c r="AY58" i="25"/>
  <c r="AY63" i="25"/>
  <c r="AQ143" i="25"/>
  <c r="AY22" i="25"/>
  <c r="AL121" i="25"/>
  <c r="AR143" i="25"/>
  <c r="AQ35" i="25"/>
  <c r="AQ39" i="25" s="1"/>
  <c r="AN121" i="25"/>
  <c r="AT143" i="25"/>
  <c r="AT35" i="25"/>
  <c r="AT39" i="25" s="1"/>
  <c r="AW143" i="25"/>
  <c r="AU35" i="25"/>
  <c r="AU39" i="25" s="1"/>
  <c r="AR121" i="25"/>
  <c r="AY120" i="25"/>
  <c r="AZ143" i="25"/>
  <c r="AV35" i="25"/>
  <c r="AV39" i="25" s="1"/>
  <c r="AS121" i="25"/>
  <c r="AT121" i="25"/>
  <c r="AZ35" i="25"/>
  <c r="AZ39" i="25" s="1"/>
  <c r="AY38" i="25"/>
  <c r="AU121" i="25"/>
  <c r="AY137" i="25"/>
  <c r="AO143" i="25"/>
  <c r="AY34" i="25"/>
  <c r="BA35" i="25"/>
  <c r="BA39" i="25" s="1"/>
  <c r="AV121" i="25"/>
  <c r="AY134" i="25"/>
  <c r="AY142" i="25"/>
  <c r="AZ69" i="25"/>
  <c r="AY68" i="25"/>
  <c r="AW121" i="25"/>
  <c r="AM143" i="25"/>
  <c r="AL158" i="25"/>
  <c r="AY158" i="25" s="1"/>
  <c r="BA58" i="25"/>
  <c r="BA69" i="25" s="1"/>
  <c r="AZ121" i="25"/>
  <c r="AY127" i="25"/>
  <c r="AY74" i="25"/>
  <c r="AL69" i="25"/>
  <c r="AY125" i="25"/>
  <c r="AY15" i="25"/>
  <c r="P175" i="34" l="1"/>
  <c r="P176" i="34" s="1"/>
  <c r="P184" i="34" s="1"/>
  <c r="J175" i="34"/>
  <c r="J176" i="34" s="1"/>
  <c r="J184" i="34" s="1"/>
  <c r="AJ18" i="34"/>
  <c r="AK18" i="34" s="1"/>
  <c r="O175" i="34"/>
  <c r="O176" i="34" s="1"/>
  <c r="O184" i="34" s="1"/>
  <c r="I175" i="34"/>
  <c r="I176" i="34" s="1"/>
  <c r="I184" i="34" s="1"/>
  <c r="W35" i="34"/>
  <c r="W39" i="34" s="1"/>
  <c r="AD39" i="34" s="1"/>
  <c r="AJ5" i="34"/>
  <c r="AK5" i="34" s="1"/>
  <c r="W175" i="34"/>
  <c r="AJ38" i="34"/>
  <c r="AK38" i="34" s="1"/>
  <c r="L175" i="34"/>
  <c r="L176" i="34" s="1"/>
  <c r="L184" i="34" s="1"/>
  <c r="R175" i="34"/>
  <c r="R176" i="34" s="1"/>
  <c r="R184" i="34" s="1"/>
  <c r="M175" i="34"/>
  <c r="M176" i="34" s="1"/>
  <c r="M184" i="34" s="1"/>
  <c r="U149" i="34"/>
  <c r="U71" i="34"/>
  <c r="U171" i="34"/>
  <c r="Q175" i="34"/>
  <c r="Q176" i="34" s="1"/>
  <c r="Q184" i="34" s="1"/>
  <c r="S175" i="34"/>
  <c r="S35" i="34"/>
  <c r="S39" i="34" s="1"/>
  <c r="U39" i="34" s="1"/>
  <c r="H175" i="34"/>
  <c r="K175" i="34"/>
  <c r="K176" i="34" s="1"/>
  <c r="K184" i="34" s="1"/>
  <c r="V175" i="34"/>
  <c r="V176" i="34" s="1"/>
  <c r="V184" i="34" s="1"/>
  <c r="N175" i="34"/>
  <c r="N176" i="34" s="1"/>
  <c r="N184" i="34" s="1"/>
  <c r="AL179" i="33"/>
  <c r="AY71" i="33"/>
  <c r="AY179" i="33" s="1"/>
  <c r="U35" i="33"/>
  <c r="W176" i="33"/>
  <c r="W184" i="33" s="1"/>
  <c r="AL39" i="33"/>
  <c r="AY35" i="33"/>
  <c r="U39" i="33"/>
  <c r="H175" i="33"/>
  <c r="U175" i="33" s="1"/>
  <c r="H39" i="32"/>
  <c r="U35" i="32"/>
  <c r="U149" i="32"/>
  <c r="H175" i="32"/>
  <c r="U175" i="32" s="1"/>
  <c r="AL179" i="32"/>
  <c r="AY71" i="32"/>
  <c r="AY179" i="32" s="1"/>
  <c r="AL39" i="32"/>
  <c r="AY35" i="32"/>
  <c r="W176" i="31"/>
  <c r="W184" i="31" s="1"/>
  <c r="AL39" i="31"/>
  <c r="AY35" i="31"/>
  <c r="U39" i="31"/>
  <c r="H175" i="31"/>
  <c r="U175" i="31" s="1"/>
  <c r="AL179" i="31"/>
  <c r="AY71" i="31"/>
  <c r="AY179" i="31" s="1"/>
  <c r="U39" i="30"/>
  <c r="H176" i="30"/>
  <c r="AL180" i="30"/>
  <c r="AY39" i="30"/>
  <c r="L175" i="30"/>
  <c r="L176" i="30" s="1"/>
  <c r="L184" i="30" s="1"/>
  <c r="AY71" i="30"/>
  <c r="AY179" i="30" s="1"/>
  <c r="I175" i="30"/>
  <c r="I176" i="30" s="1"/>
  <c r="I184" i="30" s="1"/>
  <c r="U175" i="30"/>
  <c r="AY35" i="30"/>
  <c r="W176" i="30"/>
  <c r="W184" i="30" s="1"/>
  <c r="BA180" i="30"/>
  <c r="BA187" i="30" s="1"/>
  <c r="S176" i="29"/>
  <c r="S184" i="29" s="1"/>
  <c r="R175" i="29"/>
  <c r="R176" i="29" s="1"/>
  <c r="R184" i="29" s="1"/>
  <c r="U71" i="29"/>
  <c r="U149" i="29"/>
  <c r="W176" i="29"/>
  <c r="W184" i="29" s="1"/>
  <c r="AY39" i="29"/>
  <c r="AL180" i="29"/>
  <c r="AY179" i="29"/>
  <c r="U35" i="29"/>
  <c r="H39" i="29"/>
  <c r="AL179" i="29"/>
  <c r="AM179" i="28"/>
  <c r="AM180" i="28" s="1"/>
  <c r="AM187" i="28" s="1"/>
  <c r="AR179" i="28"/>
  <c r="AR180" i="28" s="1"/>
  <c r="AR187" i="28" s="1"/>
  <c r="W175" i="28"/>
  <c r="W176" i="28" s="1"/>
  <c r="W184" i="28" s="1"/>
  <c r="AN180" i="28"/>
  <c r="AN187" i="28" s="1"/>
  <c r="N175" i="28"/>
  <c r="N176" i="28" s="1"/>
  <c r="N184" i="28" s="1"/>
  <c r="U149" i="28"/>
  <c r="AY35" i="28"/>
  <c r="U171" i="28"/>
  <c r="AY171" i="28"/>
  <c r="AW179" i="28"/>
  <c r="AW180" i="28" s="1"/>
  <c r="AW187" i="28" s="1"/>
  <c r="U71" i="28"/>
  <c r="BA179" i="28"/>
  <c r="BA180" i="28" s="1"/>
  <c r="BA187" i="28" s="1"/>
  <c r="AY149" i="28"/>
  <c r="AO180" i="28"/>
  <c r="AO187" i="28" s="1"/>
  <c r="AP179" i="28"/>
  <c r="AP180" i="28" s="1"/>
  <c r="AP187" i="28" s="1"/>
  <c r="I175" i="28"/>
  <c r="I176" i="28" s="1"/>
  <c r="I184" i="28" s="1"/>
  <c r="AU179" i="28"/>
  <c r="AU180" i="28" s="1"/>
  <c r="AU187" i="28" s="1"/>
  <c r="R176" i="28"/>
  <c r="R184" i="28" s="1"/>
  <c r="AQ179" i="28"/>
  <c r="AQ180" i="28" s="1"/>
  <c r="AQ187" i="28" s="1"/>
  <c r="U35" i="28"/>
  <c r="Q175" i="28"/>
  <c r="Q176" i="28" s="1"/>
  <c r="Q184" i="28" s="1"/>
  <c r="L176" i="28"/>
  <c r="L184" i="28" s="1"/>
  <c r="AV179" i="28"/>
  <c r="AV180" i="28" s="1"/>
  <c r="AV187" i="28" s="1"/>
  <c r="V175" i="28"/>
  <c r="V176" i="28" s="1"/>
  <c r="V184" i="28" s="1"/>
  <c r="K175" i="28"/>
  <c r="K176" i="28" s="1"/>
  <c r="K184" i="28" s="1"/>
  <c r="O175" i="28"/>
  <c r="O176" i="28" s="1"/>
  <c r="O184" i="28" s="1"/>
  <c r="H175" i="28"/>
  <c r="AY39" i="28"/>
  <c r="U39" i="28"/>
  <c r="AY71" i="28"/>
  <c r="AL179" i="28"/>
  <c r="AL180" i="28" s="1"/>
  <c r="W147" i="25"/>
  <c r="W148" i="25" s="1"/>
  <c r="W156" i="25" s="1"/>
  <c r="X68" i="27"/>
  <c r="X178" i="27" s="1"/>
  <c r="K178" i="27"/>
  <c r="X38" i="27"/>
  <c r="K179" i="27"/>
  <c r="BA151" i="25"/>
  <c r="BA152" i="25" s="1"/>
  <c r="BA159" i="25" s="1"/>
  <c r="AQ151" i="25"/>
  <c r="AQ152" i="25" s="1"/>
  <c r="AQ159" i="25" s="1"/>
  <c r="AP151" i="25"/>
  <c r="AP152" i="25" s="1"/>
  <c r="AP159" i="25" s="1"/>
  <c r="AM151" i="25"/>
  <c r="AM152" i="25" s="1"/>
  <c r="AM159" i="25" s="1"/>
  <c r="AV151" i="25"/>
  <c r="AV152" i="25" s="1"/>
  <c r="AV159" i="25" s="1"/>
  <c r="AY143" i="25"/>
  <c r="AU151" i="25"/>
  <c r="AU152" i="25" s="1"/>
  <c r="AU159" i="25" s="1"/>
  <c r="AR151" i="25"/>
  <c r="AR152" i="25" s="1"/>
  <c r="AR159" i="25" s="1"/>
  <c r="AW151" i="25"/>
  <c r="AW152" i="25" s="1"/>
  <c r="AW159" i="25" s="1"/>
  <c r="AT151" i="25"/>
  <c r="AT152" i="25" s="1"/>
  <c r="AT159" i="25" s="1"/>
  <c r="AS151" i="25"/>
  <c r="AS152" i="25" s="1"/>
  <c r="AS159" i="25" s="1"/>
  <c r="AY121" i="25"/>
  <c r="AO151" i="25"/>
  <c r="AO152" i="25" s="1"/>
  <c r="AO159" i="25" s="1"/>
  <c r="AY35" i="25"/>
  <c r="AN151" i="25"/>
  <c r="AN152" i="25" s="1"/>
  <c r="AN159" i="25" s="1"/>
  <c r="AZ151" i="25"/>
  <c r="AZ152" i="25" s="1"/>
  <c r="AZ159" i="25" s="1"/>
  <c r="AY39" i="25"/>
  <c r="AY69" i="25"/>
  <c r="AL151" i="25"/>
  <c r="AL152" i="25" s="1"/>
  <c r="AE39" i="34" l="1"/>
  <c r="AG39" i="34"/>
  <c r="AB39" i="34"/>
  <c r="AH39" i="34"/>
  <c r="Y39" i="34"/>
  <c r="Z39" i="34"/>
  <c r="AC39" i="34"/>
  <c r="W176" i="34"/>
  <c r="W184" i="34" s="1"/>
  <c r="AF39" i="34"/>
  <c r="AI39" i="34"/>
  <c r="AA39" i="34"/>
  <c r="U35" i="34"/>
  <c r="U175" i="34"/>
  <c r="H176" i="34"/>
  <c r="H184" i="34" s="1"/>
  <c r="S176" i="34"/>
  <c r="S184" i="34" s="1"/>
  <c r="AY39" i="33"/>
  <c r="AL180" i="33"/>
  <c r="H176" i="33"/>
  <c r="U39" i="32"/>
  <c r="H176" i="32"/>
  <c r="AY39" i="32"/>
  <c r="AL180" i="32"/>
  <c r="H176" i="31"/>
  <c r="AY39" i="31"/>
  <c r="AL180" i="31"/>
  <c r="AY180" i="30"/>
  <c r="AL187" i="30"/>
  <c r="AY187" i="30" s="1"/>
  <c r="H184" i="30"/>
  <c r="U184" i="30" s="1"/>
  <c r="U176" i="30"/>
  <c r="U175" i="29"/>
  <c r="H176" i="29"/>
  <c r="U39" i="29"/>
  <c r="AL187" i="29"/>
  <c r="AY187" i="29" s="1"/>
  <c r="AY180" i="29"/>
  <c r="U175" i="28"/>
  <c r="AY179" i="28"/>
  <c r="H176" i="28"/>
  <c r="H184" i="28" s="1"/>
  <c r="U184" i="28" s="1"/>
  <c r="AL187" i="28"/>
  <c r="AY187" i="28" s="1"/>
  <c r="AY180" i="28"/>
  <c r="X179" i="27"/>
  <c r="K186" i="27"/>
  <c r="X186" i="27" s="1"/>
  <c r="AY151" i="25"/>
  <c r="AY152" i="25"/>
  <c r="AL159" i="25"/>
  <c r="AY159" i="25" s="1"/>
  <c r="AJ39" i="34" l="1"/>
  <c r="AK39" i="34" s="1"/>
  <c r="U184" i="34"/>
  <c r="U176" i="34"/>
  <c r="H184" i="33"/>
  <c r="U184" i="33" s="1"/>
  <c r="U176" i="33"/>
  <c r="AY180" i="33"/>
  <c r="AL187" i="33"/>
  <c r="AY187" i="33" s="1"/>
  <c r="H184" i="32"/>
  <c r="U184" i="32" s="1"/>
  <c r="U176" i="32"/>
  <c r="AL187" i="32"/>
  <c r="AY187" i="32" s="1"/>
  <c r="AY180" i="32"/>
  <c r="AL187" i="31"/>
  <c r="AY187" i="31" s="1"/>
  <c r="AY180" i="31"/>
  <c r="H184" i="31"/>
  <c r="U184" i="31" s="1"/>
  <c r="U176" i="31"/>
  <c r="U176" i="29"/>
  <c r="H184" i="29"/>
  <c r="U184" i="29" s="1"/>
  <c r="U176" i="28"/>
  <c r="V154" i="25"/>
  <c r="V155" i="25" s="1"/>
  <c r="V142" i="25"/>
  <c r="V137" i="25"/>
  <c r="V125" i="25"/>
  <c r="V127" i="25" s="1"/>
  <c r="V120" i="25"/>
  <c r="V107" i="25"/>
  <c r="V74" i="25"/>
  <c r="V68" i="25"/>
  <c r="V63" i="25"/>
  <c r="V58" i="25"/>
  <c r="V54" i="25"/>
  <c r="V50" i="25"/>
  <c r="V47" i="25"/>
  <c r="V38" i="25"/>
  <c r="V34" i="25"/>
  <c r="V22" i="25"/>
  <c r="V15" i="25"/>
  <c r="P154" i="25"/>
  <c r="P155" i="25" s="1"/>
  <c r="P142" i="25"/>
  <c r="P137" i="25"/>
  <c r="P134" i="25"/>
  <c r="P125" i="25"/>
  <c r="P127" i="25" s="1"/>
  <c r="P120" i="25"/>
  <c r="P107" i="25"/>
  <c r="P74" i="25"/>
  <c r="P68" i="25"/>
  <c r="P63" i="25"/>
  <c r="P58" i="25"/>
  <c r="P54" i="25"/>
  <c r="P50" i="25"/>
  <c r="P47" i="25"/>
  <c r="P38" i="25"/>
  <c r="P34" i="25"/>
  <c r="P22" i="25"/>
  <c r="P15" i="25"/>
  <c r="O154" i="25"/>
  <c r="O155" i="25" s="1"/>
  <c r="N154" i="25"/>
  <c r="N155" i="25" s="1"/>
  <c r="M154" i="25"/>
  <c r="M155" i="25" s="1"/>
  <c r="L154" i="25"/>
  <c r="L155" i="25" s="1"/>
  <c r="K154" i="25"/>
  <c r="K155" i="25" s="1"/>
  <c r="J154" i="25"/>
  <c r="J155" i="25" s="1"/>
  <c r="I154" i="25"/>
  <c r="I155" i="25" s="1"/>
  <c r="H154" i="25"/>
  <c r="H155" i="25" s="1"/>
  <c r="S154" i="25"/>
  <c r="S155" i="25" s="1"/>
  <c r="R154" i="25"/>
  <c r="R155" i="25" s="1"/>
  <c r="Q154" i="25"/>
  <c r="Q155" i="25" s="1"/>
  <c r="U153" i="25"/>
  <c r="U152" i="25"/>
  <c r="U151" i="25"/>
  <c r="O142" i="25"/>
  <c r="N142" i="25"/>
  <c r="M142" i="25"/>
  <c r="L142" i="25"/>
  <c r="K142" i="25"/>
  <c r="J142" i="25"/>
  <c r="I142" i="25"/>
  <c r="H142" i="25"/>
  <c r="S142" i="25"/>
  <c r="R142" i="25"/>
  <c r="Q142" i="25"/>
  <c r="U141" i="25"/>
  <c r="O137" i="25"/>
  <c r="N137" i="25"/>
  <c r="M137" i="25"/>
  <c r="L137" i="25"/>
  <c r="K137" i="25"/>
  <c r="J137" i="25"/>
  <c r="I137" i="25"/>
  <c r="H137" i="25"/>
  <c r="S137" i="25"/>
  <c r="R137" i="25"/>
  <c r="Q137" i="25"/>
  <c r="U136" i="25"/>
  <c r="O134" i="25"/>
  <c r="N134" i="25"/>
  <c r="M134" i="25"/>
  <c r="L134" i="25"/>
  <c r="K134" i="25"/>
  <c r="J134" i="25"/>
  <c r="I134" i="25"/>
  <c r="H134" i="25"/>
  <c r="S134" i="25"/>
  <c r="R134" i="25"/>
  <c r="Q134" i="25"/>
  <c r="U131" i="25"/>
  <c r="U126" i="25"/>
  <c r="O125" i="25"/>
  <c r="O127" i="25" s="1"/>
  <c r="N125" i="25"/>
  <c r="N127" i="25" s="1"/>
  <c r="M125" i="25"/>
  <c r="M127" i="25" s="1"/>
  <c r="L125" i="25"/>
  <c r="L127" i="25" s="1"/>
  <c r="K125" i="25"/>
  <c r="K127" i="25" s="1"/>
  <c r="J125" i="25"/>
  <c r="J127" i="25" s="1"/>
  <c r="I125" i="25"/>
  <c r="I127" i="25" s="1"/>
  <c r="H125" i="25"/>
  <c r="H127" i="25" s="1"/>
  <c r="S125" i="25"/>
  <c r="S127" i="25" s="1"/>
  <c r="R125" i="25"/>
  <c r="R127" i="25" s="1"/>
  <c r="Q125" i="25"/>
  <c r="Q127" i="25" s="1"/>
  <c r="U124" i="25"/>
  <c r="O120" i="25"/>
  <c r="N120" i="25"/>
  <c r="M120" i="25"/>
  <c r="L120" i="25"/>
  <c r="K120" i="25"/>
  <c r="J120" i="25"/>
  <c r="I120" i="25"/>
  <c r="H120" i="25"/>
  <c r="S120" i="25"/>
  <c r="R120" i="25"/>
  <c r="Q120" i="25"/>
  <c r="U119" i="25"/>
  <c r="U118" i="25"/>
  <c r="U117" i="25"/>
  <c r="U116" i="25"/>
  <c r="U114" i="25"/>
  <c r="U113" i="25"/>
  <c r="U112" i="25"/>
  <c r="U111" i="25"/>
  <c r="U110" i="25"/>
  <c r="U109" i="25"/>
  <c r="O107" i="25"/>
  <c r="N107" i="25"/>
  <c r="M107" i="25"/>
  <c r="L107" i="25"/>
  <c r="K107" i="25"/>
  <c r="J107" i="25"/>
  <c r="I107" i="25"/>
  <c r="H107" i="25"/>
  <c r="S107" i="25"/>
  <c r="R107" i="25"/>
  <c r="Q107" i="25"/>
  <c r="U106" i="25"/>
  <c r="U105" i="25"/>
  <c r="U104" i="25"/>
  <c r="U103" i="25"/>
  <c r="U102" i="25"/>
  <c r="U101" i="25"/>
  <c r="U100" i="25"/>
  <c r="U98" i="25"/>
  <c r="U97" i="25"/>
  <c r="U96" i="25"/>
  <c r="U95" i="25"/>
  <c r="U93" i="25"/>
  <c r="U92" i="25"/>
  <c r="U91" i="25"/>
  <c r="U90" i="25"/>
  <c r="U89" i="25"/>
  <c r="U88" i="25"/>
  <c r="U87" i="25"/>
  <c r="U86" i="25"/>
  <c r="U85" i="25"/>
  <c r="U84" i="25"/>
  <c r="U83" i="25"/>
  <c r="U82" i="25"/>
  <c r="U81" i="25"/>
  <c r="U80" i="25"/>
  <c r="U79" i="25"/>
  <c r="U78" i="25"/>
  <c r="U77" i="25"/>
  <c r="U76" i="25"/>
  <c r="O74" i="25"/>
  <c r="N74" i="25"/>
  <c r="M74" i="25"/>
  <c r="L74" i="25"/>
  <c r="K74" i="25"/>
  <c r="J74" i="25"/>
  <c r="I74" i="25"/>
  <c r="H74" i="25"/>
  <c r="S74" i="25"/>
  <c r="R74" i="25"/>
  <c r="Q74" i="25"/>
  <c r="U73" i="25"/>
  <c r="U72" i="25"/>
  <c r="O68" i="25"/>
  <c r="N68" i="25"/>
  <c r="M68" i="25"/>
  <c r="L68" i="25"/>
  <c r="K68" i="25"/>
  <c r="J68" i="25"/>
  <c r="I68" i="25"/>
  <c r="H68" i="25"/>
  <c r="S68" i="25"/>
  <c r="R68" i="25"/>
  <c r="Q68" i="25"/>
  <c r="U67" i="25"/>
  <c r="U65" i="25"/>
  <c r="O63" i="25"/>
  <c r="N63" i="25"/>
  <c r="M63" i="25"/>
  <c r="L63" i="25"/>
  <c r="K63" i="25"/>
  <c r="J63" i="25"/>
  <c r="I63" i="25"/>
  <c r="H63" i="25"/>
  <c r="S63" i="25"/>
  <c r="R63" i="25"/>
  <c r="Q63" i="25"/>
  <c r="U62" i="25"/>
  <c r="U61" i="25"/>
  <c r="U60" i="25"/>
  <c r="O58" i="25"/>
  <c r="N58" i="25"/>
  <c r="M58" i="25"/>
  <c r="L58" i="25"/>
  <c r="K58" i="25"/>
  <c r="J58" i="25"/>
  <c r="I58" i="25"/>
  <c r="H58" i="25"/>
  <c r="S58" i="25"/>
  <c r="R58" i="25"/>
  <c r="Q58" i="25"/>
  <c r="U57" i="25"/>
  <c r="U56" i="25"/>
  <c r="O54" i="25"/>
  <c r="N54" i="25"/>
  <c r="M54" i="25"/>
  <c r="L54" i="25"/>
  <c r="K54" i="25"/>
  <c r="J54" i="25"/>
  <c r="I54" i="25"/>
  <c r="H54" i="25"/>
  <c r="S54" i="25"/>
  <c r="R54" i="25"/>
  <c r="Q54" i="25"/>
  <c r="U53" i="25"/>
  <c r="U52" i="25"/>
  <c r="O50" i="25"/>
  <c r="N50" i="25"/>
  <c r="M50" i="25"/>
  <c r="L50" i="25"/>
  <c r="K50" i="25"/>
  <c r="J50" i="25"/>
  <c r="I50" i="25"/>
  <c r="H50" i="25"/>
  <c r="S50" i="25"/>
  <c r="R50" i="25"/>
  <c r="Q50" i="25"/>
  <c r="U49" i="25"/>
  <c r="O47" i="25"/>
  <c r="N47" i="25"/>
  <c r="M47" i="25"/>
  <c r="L47" i="25"/>
  <c r="K47" i="25"/>
  <c r="J47" i="25"/>
  <c r="I47" i="25"/>
  <c r="H47" i="25"/>
  <c r="S47" i="25"/>
  <c r="R47" i="25"/>
  <c r="Q47" i="25"/>
  <c r="U46" i="25"/>
  <c r="U45" i="25"/>
  <c r="U44" i="25"/>
  <c r="U43" i="25"/>
  <c r="O38" i="25"/>
  <c r="N38" i="25"/>
  <c r="M38" i="25"/>
  <c r="L38" i="25"/>
  <c r="K38" i="25"/>
  <c r="J38" i="25"/>
  <c r="I38" i="25"/>
  <c r="H38" i="25"/>
  <c r="S38" i="25"/>
  <c r="R38" i="25"/>
  <c r="Q38" i="25"/>
  <c r="U37" i="25"/>
  <c r="O34" i="25"/>
  <c r="N34" i="25"/>
  <c r="M34" i="25"/>
  <c r="L34" i="25"/>
  <c r="K34" i="25"/>
  <c r="J34" i="25"/>
  <c r="I34" i="25"/>
  <c r="H34" i="25"/>
  <c r="S34" i="25"/>
  <c r="R34" i="25"/>
  <c r="Q34" i="25"/>
  <c r="U33" i="25"/>
  <c r="U32" i="25"/>
  <c r="U31" i="25"/>
  <c r="U29" i="25"/>
  <c r="U28" i="25"/>
  <c r="U27" i="25"/>
  <c r="U26" i="25"/>
  <c r="U25" i="25"/>
  <c r="U24" i="25"/>
  <c r="O22" i="25"/>
  <c r="N22" i="25"/>
  <c r="M22" i="25"/>
  <c r="L22" i="25"/>
  <c r="K22" i="25"/>
  <c r="J22" i="25"/>
  <c r="I22" i="25"/>
  <c r="H22" i="25"/>
  <c r="S22" i="25"/>
  <c r="R22" i="25"/>
  <c r="Q22" i="25"/>
  <c r="U21" i="25"/>
  <c r="U20" i="25"/>
  <c r="U19" i="25"/>
  <c r="U18" i="25"/>
  <c r="U17" i="25"/>
  <c r="O15" i="25"/>
  <c r="N15" i="25"/>
  <c r="M15" i="25"/>
  <c r="L15" i="25"/>
  <c r="K15" i="25"/>
  <c r="J15" i="25"/>
  <c r="I15" i="25"/>
  <c r="H15" i="25"/>
  <c r="S15" i="25"/>
  <c r="R15" i="25"/>
  <c r="Q15" i="25"/>
  <c r="U14" i="25"/>
  <c r="U13" i="25"/>
  <c r="U12" i="25"/>
  <c r="U11" i="25"/>
  <c r="U10" i="25"/>
  <c r="U9" i="25"/>
  <c r="U8" i="25"/>
  <c r="U7" i="25"/>
  <c r="U6" i="25"/>
  <c r="U5" i="25"/>
  <c r="A19" i="23"/>
  <c r="A20" i="23"/>
  <c r="A21" i="23"/>
  <c r="A18" i="23"/>
  <c r="A17" i="23"/>
  <c r="B22" i="23"/>
  <c r="C20" i="23"/>
  <c r="C19" i="23"/>
  <c r="C18" i="23"/>
  <c r="C17" i="23"/>
  <c r="R142" i="24"/>
  <c r="P142" i="24"/>
  <c r="M142" i="24"/>
  <c r="I142" i="24"/>
  <c r="S141" i="24"/>
  <c r="S142" i="24" s="1"/>
  <c r="R141" i="24"/>
  <c r="Q141" i="24"/>
  <c r="Q142" i="24" s="1"/>
  <c r="P141" i="24"/>
  <c r="O141" i="24"/>
  <c r="O142" i="24" s="1"/>
  <c r="N141" i="24"/>
  <c r="N142" i="24" s="1"/>
  <c r="M141" i="24"/>
  <c r="L141" i="24"/>
  <c r="L142" i="24" s="1"/>
  <c r="K141" i="24"/>
  <c r="K142" i="24" s="1"/>
  <c r="J141" i="24"/>
  <c r="J142" i="24" s="1"/>
  <c r="I141" i="24"/>
  <c r="H141" i="24"/>
  <c r="H142" i="24" s="1"/>
  <c r="T142" i="24" s="1"/>
  <c r="T140" i="24"/>
  <c r="T139" i="24"/>
  <c r="T138" i="24"/>
  <c r="P133" i="24"/>
  <c r="K133" i="24"/>
  <c r="I133" i="24"/>
  <c r="S132" i="24"/>
  <c r="S133" i="24" s="1"/>
  <c r="R132" i="24"/>
  <c r="Q132" i="24"/>
  <c r="P132" i="24"/>
  <c r="O132" i="24"/>
  <c r="N132" i="24"/>
  <c r="M132" i="24"/>
  <c r="L132" i="24"/>
  <c r="K132" i="24"/>
  <c r="J132" i="24"/>
  <c r="I132" i="24"/>
  <c r="H132" i="24"/>
  <c r="H133" i="24" s="1"/>
  <c r="T131" i="24"/>
  <c r="T129" i="24"/>
  <c r="S129" i="24"/>
  <c r="R129" i="24"/>
  <c r="Q129" i="24"/>
  <c r="P129" i="24"/>
  <c r="O129" i="24"/>
  <c r="N129" i="24"/>
  <c r="M129" i="24"/>
  <c r="L129" i="24"/>
  <c r="K129" i="24"/>
  <c r="J129" i="24"/>
  <c r="I129" i="24"/>
  <c r="H129" i="24"/>
  <c r="T128" i="24"/>
  <c r="S126" i="24"/>
  <c r="R126" i="24"/>
  <c r="R133" i="24" s="1"/>
  <c r="Q126" i="24"/>
  <c r="Q133" i="24" s="1"/>
  <c r="P126" i="24"/>
  <c r="O126" i="24"/>
  <c r="O133" i="24" s="1"/>
  <c r="N126" i="24"/>
  <c r="N133" i="24" s="1"/>
  <c r="M126" i="24"/>
  <c r="M133" i="24" s="1"/>
  <c r="L126" i="24"/>
  <c r="L133" i="24" s="1"/>
  <c r="K126" i="24"/>
  <c r="J126" i="24"/>
  <c r="J133" i="24" s="1"/>
  <c r="I126" i="24"/>
  <c r="H126" i="24"/>
  <c r="T125" i="24"/>
  <c r="S122" i="24"/>
  <c r="R122" i="24"/>
  <c r="O122" i="24"/>
  <c r="M122" i="24"/>
  <c r="K122" i="24"/>
  <c r="J122" i="24"/>
  <c r="T121" i="24"/>
  <c r="S120" i="24"/>
  <c r="R120" i="24"/>
  <c r="Q120" i="24"/>
  <c r="Q122" i="24" s="1"/>
  <c r="P120" i="24"/>
  <c r="P122" i="24" s="1"/>
  <c r="O120" i="24"/>
  <c r="N120" i="24"/>
  <c r="N122" i="24" s="1"/>
  <c r="M120" i="24"/>
  <c r="L120" i="24"/>
  <c r="L122" i="24" s="1"/>
  <c r="K120" i="24"/>
  <c r="J120" i="24"/>
  <c r="I120" i="24"/>
  <c r="I122" i="24" s="1"/>
  <c r="H120" i="24"/>
  <c r="H122" i="24" s="1"/>
  <c r="T119" i="24"/>
  <c r="S116" i="24"/>
  <c r="N116" i="24"/>
  <c r="L116" i="24"/>
  <c r="S115" i="24"/>
  <c r="R115" i="24"/>
  <c r="Q115" i="24"/>
  <c r="P115" i="24"/>
  <c r="O115" i="24"/>
  <c r="N115" i="24"/>
  <c r="M115" i="24"/>
  <c r="L115" i="24"/>
  <c r="K115" i="24"/>
  <c r="J115" i="24"/>
  <c r="I115" i="24"/>
  <c r="I116" i="24" s="1"/>
  <c r="H115" i="24"/>
  <c r="T114" i="24"/>
  <c r="T113" i="24"/>
  <c r="T112" i="24"/>
  <c r="T111" i="24"/>
  <c r="T110" i="24"/>
  <c r="T109" i="24"/>
  <c r="T108" i="24"/>
  <c r="T107" i="24"/>
  <c r="T106" i="24"/>
  <c r="T105" i="24"/>
  <c r="S103" i="24"/>
  <c r="R103" i="24"/>
  <c r="Q103" i="24"/>
  <c r="P103" i="24"/>
  <c r="O103" i="24"/>
  <c r="N103" i="24"/>
  <c r="M103" i="24"/>
  <c r="L103" i="24"/>
  <c r="K103" i="24"/>
  <c r="K116" i="24" s="1"/>
  <c r="J103" i="24"/>
  <c r="I103" i="24"/>
  <c r="H103" i="24"/>
  <c r="T103" i="24" s="1"/>
  <c r="T102" i="24"/>
  <c r="T101" i="24"/>
  <c r="T100" i="24"/>
  <c r="T99" i="24"/>
  <c r="T98" i="24"/>
  <c r="T97" i="24"/>
  <c r="T96" i="24"/>
  <c r="T95" i="24"/>
  <c r="T94" i="24"/>
  <c r="T93" i="24"/>
  <c r="T92" i="24"/>
  <c r="T91" i="24"/>
  <c r="T90" i="24"/>
  <c r="T89" i="24"/>
  <c r="T88" i="24"/>
  <c r="T87" i="24"/>
  <c r="T86" i="24"/>
  <c r="T85" i="24"/>
  <c r="T84" i="24"/>
  <c r="T83" i="24"/>
  <c r="T82" i="24"/>
  <c r="T81" i="24"/>
  <c r="T80" i="24"/>
  <c r="T79" i="24"/>
  <c r="T78" i="24"/>
  <c r="T77" i="24"/>
  <c r="T76" i="24"/>
  <c r="T75" i="24"/>
  <c r="T74" i="24"/>
  <c r="S72" i="24"/>
  <c r="R72" i="24"/>
  <c r="R116" i="24" s="1"/>
  <c r="Q72" i="24"/>
  <c r="Q116" i="24" s="1"/>
  <c r="P72" i="24"/>
  <c r="P116" i="24" s="1"/>
  <c r="O72" i="24"/>
  <c r="O116" i="24" s="1"/>
  <c r="N72" i="24"/>
  <c r="M72" i="24"/>
  <c r="M116" i="24" s="1"/>
  <c r="L72" i="24"/>
  <c r="K72" i="24"/>
  <c r="J72" i="24"/>
  <c r="J116" i="24" s="1"/>
  <c r="I72" i="24"/>
  <c r="H72" i="24"/>
  <c r="H116" i="24" s="1"/>
  <c r="T116" i="24" s="1"/>
  <c r="T71" i="24"/>
  <c r="T70" i="24"/>
  <c r="P67" i="24"/>
  <c r="P134" i="24" s="1"/>
  <c r="K67" i="24"/>
  <c r="K134" i="24" s="1"/>
  <c r="I67" i="24"/>
  <c r="S66" i="24"/>
  <c r="R66" i="24"/>
  <c r="Q66" i="24"/>
  <c r="P66" i="24"/>
  <c r="O66" i="24"/>
  <c r="N66" i="24"/>
  <c r="M66" i="24"/>
  <c r="L66" i="24"/>
  <c r="K66" i="24"/>
  <c r="J66" i="24"/>
  <c r="I66" i="24"/>
  <c r="H66" i="24"/>
  <c r="T66" i="24" s="1"/>
  <c r="T65" i="24"/>
  <c r="T64" i="24"/>
  <c r="S62" i="24"/>
  <c r="R62" i="24"/>
  <c r="Q62" i="24"/>
  <c r="P62" i="24"/>
  <c r="O62" i="24"/>
  <c r="N62" i="24"/>
  <c r="M62" i="24"/>
  <c r="L62" i="24"/>
  <c r="T62" i="24" s="1"/>
  <c r="K62" i="24"/>
  <c r="J62" i="24"/>
  <c r="I62" i="24"/>
  <c r="H62" i="24"/>
  <c r="T61" i="24"/>
  <c r="T60" i="24"/>
  <c r="T59" i="24"/>
  <c r="S57" i="24"/>
  <c r="R57" i="24"/>
  <c r="Q57" i="24"/>
  <c r="P57" i="24"/>
  <c r="O57" i="24"/>
  <c r="N57" i="24"/>
  <c r="M57" i="24"/>
  <c r="L57" i="24"/>
  <c r="T57" i="24" s="1"/>
  <c r="K57" i="24"/>
  <c r="J57" i="24"/>
  <c r="I57" i="24"/>
  <c r="H57" i="24"/>
  <c r="T56" i="24"/>
  <c r="T55" i="24"/>
  <c r="S53" i="24"/>
  <c r="R53" i="24"/>
  <c r="T53" i="24" s="1"/>
  <c r="Q53" i="24"/>
  <c r="P53" i="24"/>
  <c r="O53" i="24"/>
  <c r="N53" i="24"/>
  <c r="M53" i="24"/>
  <c r="L53" i="24"/>
  <c r="K53" i="24"/>
  <c r="J53" i="24"/>
  <c r="I53" i="24"/>
  <c r="H53" i="24"/>
  <c r="T52" i="24"/>
  <c r="T51" i="24"/>
  <c r="S49" i="24"/>
  <c r="R49" i="24"/>
  <c r="Q49" i="24"/>
  <c r="P49" i="24"/>
  <c r="O49" i="24"/>
  <c r="N49" i="24"/>
  <c r="M49" i="24"/>
  <c r="L49" i="24"/>
  <c r="K49" i="24"/>
  <c r="J49" i="24"/>
  <c r="I49" i="24"/>
  <c r="H49" i="24"/>
  <c r="T49" i="24" s="1"/>
  <c r="T48" i="24"/>
  <c r="S46" i="24"/>
  <c r="S67" i="24" s="1"/>
  <c r="R46" i="24"/>
  <c r="R67" i="24" s="1"/>
  <c r="Q46" i="24"/>
  <c r="Q67" i="24" s="1"/>
  <c r="P46" i="24"/>
  <c r="O46" i="24"/>
  <c r="O67" i="24" s="1"/>
  <c r="O134" i="24" s="1"/>
  <c r="N46" i="24"/>
  <c r="N67" i="24" s="1"/>
  <c r="M46" i="24"/>
  <c r="M67" i="24" s="1"/>
  <c r="M134" i="24" s="1"/>
  <c r="L46" i="24"/>
  <c r="L67" i="24" s="1"/>
  <c r="L134" i="24" s="1"/>
  <c r="K46" i="24"/>
  <c r="J46" i="24"/>
  <c r="J67" i="24" s="1"/>
  <c r="I46" i="24"/>
  <c r="H46" i="24"/>
  <c r="H67" i="24" s="1"/>
  <c r="T45" i="24"/>
  <c r="T44" i="24"/>
  <c r="T43" i="24"/>
  <c r="T42" i="24"/>
  <c r="S37" i="24"/>
  <c r="R37" i="24"/>
  <c r="Q37" i="24"/>
  <c r="P37" i="24"/>
  <c r="O37" i="24"/>
  <c r="N37" i="24"/>
  <c r="M37" i="24"/>
  <c r="L37" i="24"/>
  <c r="K37" i="24"/>
  <c r="J37" i="24"/>
  <c r="I37" i="24"/>
  <c r="H37" i="24"/>
  <c r="T37" i="24" s="1"/>
  <c r="T36" i="24"/>
  <c r="O34" i="24"/>
  <c r="O38" i="24" s="1"/>
  <c r="M34" i="24"/>
  <c r="M38" i="24" s="1"/>
  <c r="K34" i="24"/>
  <c r="K38" i="24" s="1"/>
  <c r="K135" i="24" s="1"/>
  <c r="K143" i="24" s="1"/>
  <c r="S33" i="24"/>
  <c r="R33" i="24"/>
  <c r="Q33" i="24"/>
  <c r="P33" i="24"/>
  <c r="O33" i="24"/>
  <c r="N33" i="24"/>
  <c r="M33" i="24"/>
  <c r="L33" i="24"/>
  <c r="K33" i="24"/>
  <c r="J33" i="24"/>
  <c r="I33" i="24"/>
  <c r="H33" i="24"/>
  <c r="H34" i="24" s="1"/>
  <c r="T32" i="24"/>
  <c r="T31" i="24"/>
  <c r="T30" i="24"/>
  <c r="T29" i="24"/>
  <c r="T28" i="24"/>
  <c r="T27" i="24"/>
  <c r="T26" i="24"/>
  <c r="T25" i="24"/>
  <c r="T24" i="24"/>
  <c r="S22" i="24"/>
  <c r="R22" i="24"/>
  <c r="Q22" i="24"/>
  <c r="P22" i="24"/>
  <c r="O22" i="24"/>
  <c r="N22" i="24"/>
  <c r="M22" i="24"/>
  <c r="L22" i="24"/>
  <c r="K22" i="24"/>
  <c r="J22" i="24"/>
  <c r="J34" i="24" s="1"/>
  <c r="J38" i="24" s="1"/>
  <c r="I22" i="24"/>
  <c r="H22" i="24"/>
  <c r="T22" i="24" s="1"/>
  <c r="T21" i="24"/>
  <c r="T20" i="24"/>
  <c r="T19" i="24"/>
  <c r="T18" i="24"/>
  <c r="T17" i="24"/>
  <c r="S15" i="24"/>
  <c r="S34" i="24" s="1"/>
  <c r="S38" i="24" s="1"/>
  <c r="R15" i="24"/>
  <c r="T15" i="24" s="1"/>
  <c r="Q15" i="24"/>
  <c r="Q34" i="24" s="1"/>
  <c r="Q38" i="24" s="1"/>
  <c r="P15" i="24"/>
  <c r="P34" i="24" s="1"/>
  <c r="P38" i="24" s="1"/>
  <c r="O15" i="24"/>
  <c r="N15" i="24"/>
  <c r="N34" i="24" s="1"/>
  <c r="N38" i="24" s="1"/>
  <c r="M15" i="24"/>
  <c r="L15" i="24"/>
  <c r="L34" i="24" s="1"/>
  <c r="L38" i="24" s="1"/>
  <c r="K15" i="24"/>
  <c r="J15" i="24"/>
  <c r="I15" i="24"/>
  <c r="I34" i="24" s="1"/>
  <c r="I38" i="24" s="1"/>
  <c r="H15" i="24"/>
  <c r="T14" i="24"/>
  <c r="T13" i="24"/>
  <c r="T12" i="24"/>
  <c r="T11" i="24"/>
  <c r="T10" i="24"/>
  <c r="T9" i="24"/>
  <c r="T8" i="24"/>
  <c r="T7" i="24"/>
  <c r="T6" i="24"/>
  <c r="T5" i="24"/>
  <c r="B87" i="23"/>
  <c r="B86" i="23"/>
  <c r="B85" i="23"/>
  <c r="B80" i="23"/>
  <c r="B81" i="23" s="1"/>
  <c r="B83" i="23" s="1"/>
  <c r="B74" i="23"/>
  <c r="C73" i="23"/>
  <c r="A73" i="23"/>
  <c r="C72" i="23"/>
  <c r="A72" i="23"/>
  <c r="C71" i="23"/>
  <c r="A71" i="23"/>
  <c r="C70" i="23"/>
  <c r="A70" i="23"/>
  <c r="C69" i="23"/>
  <c r="A69" i="23"/>
  <c r="B65" i="23"/>
  <c r="C64" i="23"/>
  <c r="A64" i="23"/>
  <c r="C63" i="23"/>
  <c r="A63" i="23"/>
  <c r="C62" i="23"/>
  <c r="A62" i="23"/>
  <c r="C61" i="23"/>
  <c r="A61" i="23"/>
  <c r="C60" i="23"/>
  <c r="A60" i="23"/>
  <c r="C56" i="23"/>
  <c r="B56" i="23"/>
  <c r="A55" i="23"/>
  <c r="A54" i="23"/>
  <c r="A53" i="23"/>
  <c r="A52" i="23"/>
  <c r="A51" i="23"/>
  <c r="B48" i="23"/>
  <c r="C46" i="23"/>
  <c r="C45" i="23"/>
  <c r="C44" i="23"/>
  <c r="C43" i="23"/>
  <c r="B30" i="23"/>
  <c r="O21" i="23"/>
  <c r="C28" i="23"/>
  <c r="C27" i="23"/>
  <c r="C26" i="23"/>
  <c r="C25" i="23"/>
  <c r="L11" i="23"/>
  <c r="O11" i="23" s="1"/>
  <c r="J9" i="23"/>
  <c r="J10" i="23" s="1"/>
  <c r="I9" i="23"/>
  <c r="I10" i="23" s="1"/>
  <c r="E8" i="23"/>
  <c r="F7" i="23"/>
  <c r="E7" i="23"/>
  <c r="O7" i="23" s="1"/>
  <c r="F6" i="23"/>
  <c r="E6" i="23"/>
  <c r="O6" i="23" s="1"/>
  <c r="F5" i="23"/>
  <c r="E5" i="23"/>
  <c r="O5" i="23" s="1"/>
  <c r="E3" i="23"/>
  <c r="E8" i="18"/>
  <c r="L11" i="18"/>
  <c r="O11" i="18" s="1"/>
  <c r="L7" i="18"/>
  <c r="L5" i="18"/>
  <c r="C18" i="18"/>
  <c r="A19" i="18"/>
  <c r="A20" i="18"/>
  <c r="A21" i="18"/>
  <c r="A29" i="18" s="1"/>
  <c r="A18" i="18"/>
  <c r="A26" i="18"/>
  <c r="A27" i="18"/>
  <c r="A28" i="18"/>
  <c r="A25" i="18"/>
  <c r="A17" i="18"/>
  <c r="C30" i="18"/>
  <c r="B30" i="18"/>
  <c r="B22" i="18"/>
  <c r="C20" i="18"/>
  <c r="C22" i="18" s="1"/>
  <c r="C19" i="18"/>
  <c r="C17" i="18"/>
  <c r="B79" i="18"/>
  <c r="B78" i="18"/>
  <c r="B77" i="18"/>
  <c r="B73" i="18"/>
  <c r="B75" i="18" s="1"/>
  <c r="B72" i="18"/>
  <c r="B66" i="18"/>
  <c r="C65" i="18"/>
  <c r="A65" i="18"/>
  <c r="C64" i="18"/>
  <c r="A64" i="18"/>
  <c r="C63" i="18"/>
  <c r="A63" i="18"/>
  <c r="C62" i="18"/>
  <c r="A62" i="18"/>
  <c r="C61" i="18"/>
  <c r="C66" i="18" s="1"/>
  <c r="A61" i="18"/>
  <c r="B57" i="18"/>
  <c r="C56" i="18"/>
  <c r="A56" i="18"/>
  <c r="C55" i="18"/>
  <c r="A55" i="18"/>
  <c r="C54" i="18"/>
  <c r="A54" i="18"/>
  <c r="C53" i="18"/>
  <c r="A53" i="18"/>
  <c r="C52" i="18"/>
  <c r="A52" i="18"/>
  <c r="C48" i="18"/>
  <c r="B48" i="18"/>
  <c r="A47" i="18"/>
  <c r="A39" i="18" s="1"/>
  <c r="A46" i="18"/>
  <c r="A38" i="18" s="1"/>
  <c r="A45" i="18"/>
  <c r="A37" i="18" s="1"/>
  <c r="A44" i="18"/>
  <c r="A43" i="18"/>
  <c r="A35" i="18" s="1"/>
  <c r="B40" i="18"/>
  <c r="O21" i="18"/>
  <c r="C38" i="18"/>
  <c r="C37" i="18"/>
  <c r="C36" i="18"/>
  <c r="A36" i="18"/>
  <c r="C35" i="18"/>
  <c r="C40" i="18" s="1"/>
  <c r="J9" i="18"/>
  <c r="J10" i="18" s="1"/>
  <c r="I9" i="18"/>
  <c r="I10" i="18" s="1"/>
  <c r="O8" i="18"/>
  <c r="F7" i="18"/>
  <c r="E7" i="18"/>
  <c r="O7" i="18" s="1"/>
  <c r="F6" i="18"/>
  <c r="E6" i="18"/>
  <c r="O6" i="18" s="1"/>
  <c r="H5" i="18"/>
  <c r="F5" i="18"/>
  <c r="E5" i="18"/>
  <c r="O5" i="18" s="1"/>
  <c r="H3" i="18"/>
  <c r="H9" i="18" s="1"/>
  <c r="H10" i="18" s="1"/>
  <c r="D3" i="18"/>
  <c r="E3" i="18" s="1"/>
  <c r="O8" i="23" l="1"/>
  <c r="L8" i="23"/>
  <c r="C30" i="23"/>
  <c r="C22" i="23"/>
  <c r="H9" i="23"/>
  <c r="H10" i="23" s="1"/>
  <c r="H11" i="23" s="1"/>
  <c r="H12" i="23" s="1"/>
  <c r="C48" i="23"/>
  <c r="B88" i="23"/>
  <c r="J35" i="25"/>
  <c r="J39" i="25" s="1"/>
  <c r="P69" i="25"/>
  <c r="V69" i="25"/>
  <c r="P121" i="25"/>
  <c r="R35" i="25"/>
  <c r="R39" i="25" s="1"/>
  <c r="P143" i="25"/>
  <c r="V35" i="25"/>
  <c r="V39" i="25" s="1"/>
  <c r="U142" i="25"/>
  <c r="Q143" i="25"/>
  <c r="K121" i="25"/>
  <c r="V121" i="25"/>
  <c r="P35" i="25"/>
  <c r="P39" i="25" s="1"/>
  <c r="M35" i="25"/>
  <c r="M39" i="25" s="1"/>
  <c r="N35" i="25"/>
  <c r="N39" i="25" s="1"/>
  <c r="U54" i="25"/>
  <c r="V143" i="25"/>
  <c r="R69" i="25"/>
  <c r="R143" i="25"/>
  <c r="H143" i="25"/>
  <c r="Q121" i="25"/>
  <c r="R121" i="25"/>
  <c r="J143" i="25"/>
  <c r="U68" i="25"/>
  <c r="K143" i="25"/>
  <c r="L143" i="25"/>
  <c r="M69" i="25"/>
  <c r="I121" i="25"/>
  <c r="L121" i="25"/>
  <c r="H35" i="25"/>
  <c r="H39" i="25" s="1"/>
  <c r="S35" i="25"/>
  <c r="S39" i="25" s="1"/>
  <c r="M143" i="25"/>
  <c r="U22" i="25"/>
  <c r="I35" i="25"/>
  <c r="I39" i="25" s="1"/>
  <c r="Q69" i="25"/>
  <c r="N121" i="25"/>
  <c r="N143" i="25"/>
  <c r="U137" i="25"/>
  <c r="O121" i="25"/>
  <c r="O143" i="25"/>
  <c r="K35" i="25"/>
  <c r="K39" i="25" s="1"/>
  <c r="Q35" i="25"/>
  <c r="Q39" i="25" s="1"/>
  <c r="S69" i="25"/>
  <c r="U107" i="25"/>
  <c r="L35" i="25"/>
  <c r="L39" i="25" s="1"/>
  <c r="H69" i="25"/>
  <c r="H121" i="25"/>
  <c r="I69" i="25"/>
  <c r="U127" i="25"/>
  <c r="U155" i="25"/>
  <c r="J69" i="25"/>
  <c r="U38" i="25"/>
  <c r="O35" i="25"/>
  <c r="O39" i="25" s="1"/>
  <c r="K69" i="25"/>
  <c r="U120" i="25"/>
  <c r="L69" i="25"/>
  <c r="O69" i="25"/>
  <c r="M121" i="25"/>
  <c r="U134" i="25"/>
  <c r="N69" i="25"/>
  <c r="S121" i="25"/>
  <c r="S143" i="25"/>
  <c r="U63" i="25"/>
  <c r="U58" i="25"/>
  <c r="I143" i="25"/>
  <c r="J121" i="25"/>
  <c r="U50" i="25"/>
  <c r="U15" i="25"/>
  <c r="U47" i="25"/>
  <c r="U154" i="25"/>
  <c r="U125" i="25"/>
  <c r="U34" i="25"/>
  <c r="U74" i="25"/>
  <c r="C74" i="23"/>
  <c r="C65" i="23"/>
  <c r="Q134" i="24"/>
  <c r="Q135" i="24" s="1"/>
  <c r="Q143" i="24" s="1"/>
  <c r="R134" i="24"/>
  <c r="I135" i="24"/>
  <c r="I143" i="24" s="1"/>
  <c r="S134" i="24"/>
  <c r="S135" i="24" s="1"/>
  <c r="S143" i="24" s="1"/>
  <c r="M135" i="24"/>
  <c r="M143" i="24" s="1"/>
  <c r="L135" i="24"/>
  <c r="L143" i="24" s="1"/>
  <c r="O135" i="24"/>
  <c r="O143" i="24" s="1"/>
  <c r="H38" i="24"/>
  <c r="H134" i="24"/>
  <c r="T67" i="24"/>
  <c r="P135" i="24"/>
  <c r="P143" i="24" s="1"/>
  <c r="J134" i="24"/>
  <c r="J135" i="24" s="1"/>
  <c r="J143" i="24" s="1"/>
  <c r="I134" i="24"/>
  <c r="T133" i="24"/>
  <c r="N134" i="24"/>
  <c r="N135" i="24" s="1"/>
  <c r="N143" i="24" s="1"/>
  <c r="T122" i="24"/>
  <c r="T46" i="24"/>
  <c r="R34" i="24"/>
  <c r="R38" i="24" s="1"/>
  <c r="R135" i="24" s="1"/>
  <c r="R143" i="24" s="1"/>
  <c r="T141" i="24"/>
  <c r="T120" i="24"/>
  <c r="T126" i="24"/>
  <c r="T33" i="24"/>
  <c r="T72" i="24"/>
  <c r="T115" i="24"/>
  <c r="T132" i="24"/>
  <c r="O3" i="23"/>
  <c r="L3" i="23"/>
  <c r="L6" i="23"/>
  <c r="L7" i="23"/>
  <c r="E4" i="23"/>
  <c r="E9" i="23" s="1"/>
  <c r="L5" i="23"/>
  <c r="B80" i="18"/>
  <c r="C57" i="18"/>
  <c r="E4" i="18"/>
  <c r="O4" i="18" s="1"/>
  <c r="O3" i="18"/>
  <c r="L3" i="18"/>
  <c r="K10" i="18"/>
  <c r="H11" i="18"/>
  <c r="H12" i="18" s="1"/>
  <c r="L6" i="18"/>
  <c r="K10" i="23" l="1"/>
  <c r="V147" i="25"/>
  <c r="V148" i="25" s="1"/>
  <c r="V156" i="25" s="1"/>
  <c r="K147" i="25"/>
  <c r="K148" i="25" s="1"/>
  <c r="K156" i="25" s="1"/>
  <c r="P147" i="25"/>
  <c r="P148" i="25" s="1"/>
  <c r="P156" i="25" s="1"/>
  <c r="Q147" i="25"/>
  <c r="Q148" i="25" s="1"/>
  <c r="O147" i="25"/>
  <c r="O148" i="25" s="1"/>
  <c r="O156" i="25" s="1"/>
  <c r="H147" i="25"/>
  <c r="H148" i="25" s="1"/>
  <c r="H156" i="25" s="1"/>
  <c r="J147" i="25"/>
  <c r="J148" i="25" s="1"/>
  <c r="J156" i="25" s="1"/>
  <c r="N147" i="25"/>
  <c r="N148" i="25" s="1"/>
  <c r="N156" i="25" s="1"/>
  <c r="S147" i="25"/>
  <c r="S148" i="25" s="1"/>
  <c r="S156" i="25" s="1"/>
  <c r="M147" i="25"/>
  <c r="M148" i="25" s="1"/>
  <c r="M156" i="25" s="1"/>
  <c r="U121" i="25"/>
  <c r="U143" i="25"/>
  <c r="U69" i="25"/>
  <c r="L147" i="25"/>
  <c r="L148" i="25" s="1"/>
  <c r="L156" i="25" s="1"/>
  <c r="I147" i="25"/>
  <c r="I148" i="25" s="1"/>
  <c r="I156" i="25" s="1"/>
  <c r="R147" i="25"/>
  <c r="R148" i="25" s="1"/>
  <c r="R156" i="25" s="1"/>
  <c r="U35" i="25"/>
  <c r="U39" i="25"/>
  <c r="T134" i="24"/>
  <c r="T38" i="24"/>
  <c r="H135" i="24"/>
  <c r="T34" i="24"/>
  <c r="O27" i="23"/>
  <c r="O26" i="23"/>
  <c r="J17" i="23"/>
  <c r="J19" i="23" s="1"/>
  <c r="O4" i="23"/>
  <c r="O9" i="23" s="1"/>
  <c r="O18" i="23" s="1"/>
  <c r="O22" i="23" s="1"/>
  <c r="L4" i="23"/>
  <c r="L9" i="23" s="1"/>
  <c r="E9" i="18"/>
  <c r="L4" i="18"/>
  <c r="O9" i="18"/>
  <c r="O18" i="18" s="1"/>
  <c r="O22" i="18" s="1"/>
  <c r="J17" i="18"/>
  <c r="J19" i="18" s="1"/>
  <c r="O26" i="18"/>
  <c r="O27" i="18"/>
  <c r="L9" i="18"/>
  <c r="H12" i="6"/>
  <c r="H11" i="6"/>
  <c r="H3" i="6"/>
  <c r="H5" i="6"/>
  <c r="U147" i="25" l="1"/>
  <c r="U148" i="25"/>
  <c r="Q156" i="25"/>
  <c r="U156" i="25" s="1"/>
  <c r="T135" i="24"/>
  <c r="H143" i="24"/>
  <c r="T143" i="24" s="1"/>
  <c r="B22" i="6"/>
  <c r="C20" i="6"/>
  <c r="C19" i="6"/>
  <c r="C18" i="6"/>
  <c r="C17" i="6"/>
  <c r="C22" i="6" l="1"/>
  <c r="O21" i="6" l="1"/>
  <c r="A26" i="6" l="1"/>
  <c r="A18" i="6" s="1"/>
  <c r="A27" i="6"/>
  <c r="A19" i="6" s="1"/>
  <c r="A28" i="6"/>
  <c r="A20" i="6" s="1"/>
  <c r="A29" i="6"/>
  <c r="A21" i="6" s="1"/>
  <c r="A25" i="6"/>
  <c r="A17" i="6" s="1"/>
  <c r="B30" i="6"/>
  <c r="B61" i="6"/>
  <c r="B60" i="6"/>
  <c r="B59" i="6"/>
  <c r="B54" i="6"/>
  <c r="B55" i="6" s="1"/>
  <c r="B57" i="6" s="1"/>
  <c r="B48" i="6"/>
  <c r="C47" i="6"/>
  <c r="A47" i="6"/>
  <c r="C46" i="6"/>
  <c r="A46" i="6"/>
  <c r="C45" i="6"/>
  <c r="A45" i="6"/>
  <c r="C44" i="6"/>
  <c r="A44" i="6"/>
  <c r="C43" i="6"/>
  <c r="A43" i="6"/>
  <c r="B39" i="6"/>
  <c r="C38" i="6"/>
  <c r="A38" i="6"/>
  <c r="C37" i="6"/>
  <c r="A37" i="6"/>
  <c r="C36" i="6"/>
  <c r="A36" i="6"/>
  <c r="C35" i="6"/>
  <c r="A35" i="6"/>
  <c r="C34" i="6"/>
  <c r="A34" i="6"/>
  <c r="O11" i="6"/>
  <c r="J9" i="6"/>
  <c r="J10" i="6" s="1"/>
  <c r="I9" i="6"/>
  <c r="I10" i="6" s="1"/>
  <c r="H9" i="6"/>
  <c r="H10" i="6" s="1"/>
  <c r="O8" i="6"/>
  <c r="F7" i="6"/>
  <c r="E7" i="6"/>
  <c r="O7" i="6" s="1"/>
  <c r="F6" i="6"/>
  <c r="E6" i="6"/>
  <c r="O6" i="6" s="1"/>
  <c r="F5" i="6"/>
  <c r="E5" i="6"/>
  <c r="O5" i="6" s="1"/>
  <c r="D3" i="6"/>
  <c r="B28" i="5"/>
  <c r="C27" i="5"/>
  <c r="C26" i="5"/>
  <c r="C25" i="5"/>
  <c r="C24" i="5"/>
  <c r="C28" i="5" s="1"/>
  <c r="C23" i="5"/>
  <c r="B20" i="5"/>
  <c r="C19" i="5"/>
  <c r="A19" i="5"/>
  <c r="C18" i="5"/>
  <c r="A18" i="5"/>
  <c r="C17" i="5"/>
  <c r="A17" i="5"/>
  <c r="C16" i="5"/>
  <c r="A16" i="5"/>
  <c r="C15" i="5"/>
  <c r="C20" i="5" s="1"/>
  <c r="A15" i="5"/>
  <c r="O10" i="5"/>
  <c r="J9" i="5"/>
  <c r="H9" i="5"/>
  <c r="J8" i="5"/>
  <c r="I8" i="5"/>
  <c r="I9" i="5" s="1"/>
  <c r="H8" i="5"/>
  <c r="F7" i="5"/>
  <c r="E7" i="5"/>
  <c r="L7" i="5" s="1"/>
  <c r="F6" i="5"/>
  <c r="E6" i="5"/>
  <c r="L6" i="5" s="1"/>
  <c r="F5" i="5"/>
  <c r="E5" i="5"/>
  <c r="L5" i="5" s="1"/>
  <c r="F4" i="5"/>
  <c r="E4" i="5"/>
  <c r="L4" i="5" s="1"/>
  <c r="D3" i="5"/>
  <c r="E3" i="5" s="1"/>
  <c r="B33" i="4"/>
  <c r="B32" i="4"/>
  <c r="B31" i="4"/>
  <c r="B34" i="4" s="1"/>
  <c r="B26" i="4"/>
  <c r="B27" i="4" s="1"/>
  <c r="B29" i="4" s="1"/>
  <c r="B20" i="4"/>
  <c r="C19" i="4"/>
  <c r="A19" i="4"/>
  <c r="C18" i="4"/>
  <c r="A18" i="4"/>
  <c r="C17" i="4"/>
  <c r="A17" i="4"/>
  <c r="C16" i="4"/>
  <c r="A16" i="4"/>
  <c r="O15" i="4"/>
  <c r="C15" i="4"/>
  <c r="C20" i="4" s="1"/>
  <c r="A15" i="4"/>
  <c r="O10" i="4"/>
  <c r="J8" i="4"/>
  <c r="J9" i="4" s="1"/>
  <c r="I8" i="4"/>
  <c r="I9" i="4" s="1"/>
  <c r="H8" i="4"/>
  <c r="H9" i="4" s="1"/>
  <c r="O7" i="4"/>
  <c r="L7" i="4"/>
  <c r="F7" i="4"/>
  <c r="E7" i="4"/>
  <c r="O6" i="4"/>
  <c r="L6" i="4"/>
  <c r="F6" i="4"/>
  <c r="E6" i="4"/>
  <c r="O5" i="4"/>
  <c r="L5" i="4"/>
  <c r="F5" i="4"/>
  <c r="E5" i="4"/>
  <c r="O4" i="4"/>
  <c r="L4" i="4"/>
  <c r="F4" i="4"/>
  <c r="E4" i="4"/>
  <c r="E3" i="4"/>
  <c r="O3" i="4" s="1"/>
  <c r="O8" i="4" s="1"/>
  <c r="O12" i="4" s="1"/>
  <c r="O16" i="4" s="1"/>
  <c r="D3" i="4"/>
  <c r="B45" i="3"/>
  <c r="B44" i="3"/>
  <c r="B43" i="3"/>
  <c r="B38" i="3"/>
  <c r="B39" i="3" s="1"/>
  <c r="B41" i="3" s="1"/>
  <c r="B32" i="3"/>
  <c r="C31" i="3"/>
  <c r="A31" i="3"/>
  <c r="C30" i="3"/>
  <c r="A30" i="3"/>
  <c r="C29" i="3"/>
  <c r="A29" i="3"/>
  <c r="C28" i="3"/>
  <c r="A28" i="3"/>
  <c r="C27" i="3"/>
  <c r="C32" i="3" s="1"/>
  <c r="A27" i="3"/>
  <c r="B23" i="3"/>
  <c r="C22" i="3"/>
  <c r="A22" i="3"/>
  <c r="C21" i="3"/>
  <c r="A21" i="3"/>
  <c r="C20" i="3"/>
  <c r="A20" i="3"/>
  <c r="C19" i="3"/>
  <c r="A19" i="3"/>
  <c r="C18" i="3"/>
  <c r="A18" i="3"/>
  <c r="O15" i="3"/>
  <c r="O10" i="3"/>
  <c r="J8" i="3"/>
  <c r="J9" i="3" s="1"/>
  <c r="I8" i="3"/>
  <c r="I9" i="3" s="1"/>
  <c r="H8" i="3"/>
  <c r="H9" i="3" s="1"/>
  <c r="F7" i="3"/>
  <c r="E7" i="3"/>
  <c r="O7" i="3" s="1"/>
  <c r="F6" i="3"/>
  <c r="E6" i="3"/>
  <c r="F5" i="3"/>
  <c r="E5" i="3"/>
  <c r="F4" i="3"/>
  <c r="E4" i="3"/>
  <c r="E3" i="3"/>
  <c r="E10" i="3" s="1"/>
  <c r="C39" i="6" l="1"/>
  <c r="E3" i="6"/>
  <c r="L3" i="6" s="1"/>
  <c r="E4" i="6"/>
  <c r="E9" i="6" s="1"/>
  <c r="B46" i="3"/>
  <c r="F10" i="3"/>
  <c r="C23" i="3"/>
  <c r="O6" i="3"/>
  <c r="E13" i="3"/>
  <c r="F13" i="3" s="1"/>
  <c r="O4" i="3"/>
  <c r="E11" i="3"/>
  <c r="F11" i="3" s="1"/>
  <c r="O5" i="3"/>
  <c r="E12" i="3"/>
  <c r="F12" i="3" s="1"/>
  <c r="L7" i="3"/>
  <c r="C30" i="6"/>
  <c r="K10" i="6"/>
  <c r="C48" i="6"/>
  <c r="B62" i="6"/>
  <c r="L6" i="6"/>
  <c r="K9" i="3"/>
  <c r="K9" i="4"/>
  <c r="L3" i="5"/>
  <c r="L8" i="5" s="1"/>
  <c r="E8" i="5"/>
  <c r="O3" i="5"/>
  <c r="K9" i="5"/>
  <c r="E8" i="3"/>
  <c r="L3" i="3"/>
  <c r="O3" i="3"/>
  <c r="O8" i="3" s="1"/>
  <c r="O12" i="3" s="1"/>
  <c r="O16" i="3" s="1"/>
  <c r="E8" i="4"/>
  <c r="O4" i="5"/>
  <c r="O5" i="5"/>
  <c r="O6" i="5"/>
  <c r="O7" i="5"/>
  <c r="L5" i="3"/>
  <c r="L3" i="4"/>
  <c r="L8" i="4" s="1"/>
  <c r="O4" i="6" l="1"/>
  <c r="L4" i="6"/>
  <c r="O3" i="6"/>
  <c r="O9" i="6" s="1"/>
  <c r="O18" i="6" s="1"/>
  <c r="O22" i="6" s="1"/>
  <c r="E14" i="3"/>
  <c r="F15" i="3" s="1"/>
  <c r="F14" i="3"/>
  <c r="L9" i="6"/>
  <c r="J17" i="6"/>
  <c r="J19" i="6" s="1"/>
  <c r="O27" i="6"/>
  <c r="O26" i="6"/>
  <c r="L8" i="3"/>
  <c r="O20" i="5"/>
  <c r="O21" i="5"/>
  <c r="J11" i="5"/>
  <c r="J13" i="5" s="1"/>
  <c r="O8" i="5"/>
  <c r="O12" i="5" s="1"/>
  <c r="J11" i="3"/>
  <c r="J13" i="3" s="1"/>
  <c r="O20" i="3"/>
  <c r="O21" i="3"/>
  <c r="J11" i="4"/>
  <c r="J13" i="4" s="1"/>
  <c r="O21" i="4"/>
  <c r="O20"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Cindi</author>
  </authors>
  <commentList>
    <comment ref="H8" authorId="0" shapeId="0" xr:uid="{D8EBD173-C73E-4091-A778-9F20B13CFB89}">
      <text>
        <r>
          <rPr>
            <b/>
            <sz val="8"/>
            <color indexed="81"/>
            <rFont val="Tahoma"/>
            <family val="2"/>
          </rPr>
          <t>Cindi:</t>
        </r>
        <r>
          <rPr>
            <sz val="8"/>
            <color indexed="81"/>
            <rFont val="Tahoma"/>
            <family val="2"/>
          </rPr>
          <t xml:space="preserve">
Adding second daughter in October 2019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Cindi</author>
  </authors>
  <commentList>
    <comment ref="H8" authorId="0" shapeId="0" xr:uid="{F091BD73-81DC-450C-9718-85D18AEB655E}">
      <text>
        <r>
          <rPr>
            <b/>
            <sz val="8"/>
            <color indexed="81"/>
            <rFont val="Tahoma"/>
            <family val="2"/>
          </rPr>
          <t>Cindi:</t>
        </r>
        <r>
          <rPr>
            <sz val="8"/>
            <color indexed="81"/>
            <rFont val="Tahoma"/>
            <family val="2"/>
          </rPr>
          <t xml:space="preserve">
Adding second daughter in October 2019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Cindi</author>
  </authors>
  <commentList>
    <comment ref="H7" authorId="0" shapeId="0" xr:uid="{A015727D-10F1-44EE-AA0C-B1C080E1D349}">
      <text>
        <r>
          <rPr>
            <b/>
            <sz val="8"/>
            <color indexed="81"/>
            <rFont val="Tahoma"/>
            <family val="2"/>
          </rPr>
          <t>Cindi:</t>
        </r>
        <r>
          <rPr>
            <sz val="8"/>
            <color indexed="81"/>
            <rFont val="Tahoma"/>
            <family val="2"/>
          </rPr>
          <t xml:space="preserve">
Adding second daughter in October 2019
</t>
        </r>
      </text>
    </comment>
  </commentList>
</comments>
</file>

<file path=xl/sharedStrings.xml><?xml version="1.0" encoding="utf-8"?>
<sst xmlns="http://schemas.openxmlformats.org/spreadsheetml/2006/main" count="3852" uniqueCount="331">
  <si>
    <t>TOTAL</t>
  </si>
  <si>
    <t>Ordinary Income/Expense</t>
  </si>
  <si>
    <t>Income</t>
  </si>
  <si>
    <t>Total Income</t>
  </si>
  <si>
    <t>Expense</t>
  </si>
  <si>
    <t>Total Expense</t>
  </si>
  <si>
    <t>Net Ordinary Income</t>
  </si>
  <si>
    <t>Other Income/Expense</t>
  </si>
  <si>
    <t>Other Income</t>
  </si>
  <si>
    <t>Total Other Income</t>
  </si>
  <si>
    <t>Net Other Income</t>
  </si>
  <si>
    <t>Net Income</t>
  </si>
  <si>
    <t>Model Wages</t>
  </si>
  <si>
    <t>CB - Enter the Blue Fields</t>
  </si>
  <si>
    <t>Updated for 19-20</t>
  </si>
  <si>
    <t>Hours</t>
  </si>
  <si>
    <t>Old Wage</t>
  </si>
  <si>
    <t>New Wage</t>
  </si>
  <si>
    <t>Annual</t>
  </si>
  <si>
    <t>Increase %</t>
  </si>
  <si>
    <t>Estimated Health</t>
  </si>
  <si>
    <t>Dental</t>
  </si>
  <si>
    <t>Vision</t>
  </si>
  <si>
    <t>457 Match</t>
  </si>
  <si>
    <t>Workers' Comp Rate</t>
  </si>
  <si>
    <t>Est Workers' Comp</t>
  </si>
  <si>
    <t>Cindi Beaudet</t>
  </si>
  <si>
    <t>Blue Shield</t>
  </si>
  <si>
    <t>Kyle Means</t>
  </si>
  <si>
    <t>Kaiser</t>
  </si>
  <si>
    <t>Joseph Sands</t>
  </si>
  <si>
    <t>Jarren Skaife</t>
  </si>
  <si>
    <t>Michelle Hesselgesser</t>
  </si>
  <si>
    <t>Monthly</t>
  </si>
  <si>
    <t xml:space="preserve">Directors: </t>
  </si>
  <si>
    <t>Pension Match is available at 6 months.</t>
  </si>
  <si>
    <t>Full Time Salaries</t>
  </si>
  <si>
    <t>Full time only.</t>
  </si>
  <si>
    <t>Part Time Salaries</t>
  </si>
  <si>
    <t>.</t>
  </si>
  <si>
    <t>Total</t>
  </si>
  <si>
    <t xml:space="preserve">**Note credits on Workers' Comp estimate </t>
  </si>
  <si>
    <t>2019-2020 Proposed</t>
  </si>
  <si>
    <t>from SDRMA</t>
  </si>
  <si>
    <t>Bonus:</t>
  </si>
  <si>
    <t>Net</t>
  </si>
  <si>
    <t>Gross</t>
  </si>
  <si>
    <t>Credits</t>
  </si>
  <si>
    <t>Net After Credit</t>
  </si>
  <si>
    <t>2019 workmans comp</t>
  </si>
  <si>
    <t>2019 prperty liability</t>
  </si>
  <si>
    <t>Estimated Social Security</t>
  </si>
  <si>
    <t>Estimated Medicare</t>
  </si>
  <si>
    <t>2018-2019 Actuals</t>
  </si>
  <si>
    <t>Board Stipend Notes</t>
  </si>
  <si>
    <t>Board Stipend</t>
  </si>
  <si>
    <t>Meetings per month -4</t>
  </si>
  <si>
    <t>Number of Trustees  5</t>
  </si>
  <si>
    <t>12 Months per year - Maximum</t>
  </si>
  <si>
    <t>Just Monthly</t>
  </si>
  <si>
    <t>5 Trustees at 5 Addl Conferences</t>
  </si>
  <si>
    <t>5 Trustees at 3 - (LAMs, MD)</t>
  </si>
  <si>
    <t>2018-2019</t>
  </si>
  <si>
    <t>joe</t>
  </si>
  <si>
    <t>mh</t>
  </si>
  <si>
    <t>Ricky Eufers</t>
  </si>
  <si>
    <t>Directors</t>
  </si>
  <si>
    <t>Clerical</t>
  </si>
  <si>
    <t>Operations</t>
  </si>
  <si>
    <t>Notes as of 11 02 17</t>
  </si>
  <si>
    <t>Verify, Update</t>
  </si>
  <si>
    <t>2020-2021 Proposed</t>
  </si>
  <si>
    <t>20-21 workmans comp</t>
  </si>
  <si>
    <t>20-21 property liability</t>
  </si>
  <si>
    <t>700001 · Property Taxes</t>
  </si>
  <si>
    <t>700020 · Prop Tax Current Secured</t>
  </si>
  <si>
    <t>701020 · Prop Tax Current Unsecured</t>
  </si>
  <si>
    <t>704000 · Prop Tax Curr Supplemental</t>
  </si>
  <si>
    <t>705000 · Prop Tax Prior Supplemental</t>
  </si>
  <si>
    <t>706000 · Teeter Settlement</t>
  </si>
  <si>
    <t>707000 · RDV Apportionment</t>
  </si>
  <si>
    <t>752800 · CA-Homeowners Tax Relief</t>
  </si>
  <si>
    <t>770100 · Property Tax - SBE</t>
  </si>
  <si>
    <t>770102 · Other Taxes</t>
  </si>
  <si>
    <t>Total 700001 · Property Taxes</t>
  </si>
  <si>
    <t>740020 · Interest and Dividend Income</t>
  </si>
  <si>
    <t>740024 · Dividend Income - Stifel</t>
  </si>
  <si>
    <t>740023 · Interest - Stifel</t>
  </si>
  <si>
    <t>740020G · Interest on General Fnd at Cnty</t>
  </si>
  <si>
    <t>740020E · Interest on Endow Fnd at County</t>
  </si>
  <si>
    <t>740020O · Interest on ACO at County</t>
  </si>
  <si>
    <t>Total 740020 · Interest and Dividend Income</t>
  </si>
  <si>
    <t>770001 · Other Revenue</t>
  </si>
  <si>
    <t>770100E · Endowment</t>
  </si>
  <si>
    <t>777030 · Marker Setting</t>
  </si>
  <si>
    <t>777040 · Open, Close Fees</t>
  </si>
  <si>
    <t>777520 · Sale of Lots</t>
  </si>
  <si>
    <t>777530 · Cremation</t>
  </si>
  <si>
    <t>780160 · Vaults, Flower Vases, etc.</t>
  </si>
  <si>
    <t>781360 · Other Misc. Revenue</t>
  </si>
  <si>
    <t>Total 770001 · Other Revenue</t>
  </si>
  <si>
    <t>Cost of Goods Sold</t>
  </si>
  <si>
    <t>5000 · Cost of Goods Sold</t>
  </si>
  <si>
    <t>Total COGS</t>
  </si>
  <si>
    <t>Gross Profit</t>
  </si>
  <si>
    <t>510000 · Salaries and Employee Benefits</t>
  </si>
  <si>
    <t>510040T · Regular Salaries.</t>
  </si>
  <si>
    <t>510040 · Regular Salaries</t>
  </si>
  <si>
    <t>510330 · Year End Bonuses</t>
  </si>
  <si>
    <t>515100 · Life Insurance Policy</t>
  </si>
  <si>
    <t>Total 510040T · Regular Salaries.</t>
  </si>
  <si>
    <t>513000T · Retirement - Miscellaneous</t>
  </si>
  <si>
    <t>518000 · Employer Contributions-457</t>
  </si>
  <si>
    <t>551000 · Employee Contributions</t>
  </si>
  <si>
    <t>Total 513000T · Retirement - Miscellaneous</t>
  </si>
  <si>
    <t>513120T · Retirement - Social Security</t>
  </si>
  <si>
    <t>513120 · Social Security</t>
  </si>
  <si>
    <t>513140 · Medicare Tax</t>
  </si>
  <si>
    <t>Total 513120T · Retirement - Social Security</t>
  </si>
  <si>
    <t>515080T · Health Insurance (eer share)</t>
  </si>
  <si>
    <t>515081 · Health Insurance</t>
  </si>
  <si>
    <t>515082 · Vision Insurance</t>
  </si>
  <si>
    <t>515083 · Dental Insurance</t>
  </si>
  <si>
    <t>Total 515080T · Health Insurance (eer share)</t>
  </si>
  <si>
    <t>515260T · Unemployment Insurance</t>
  </si>
  <si>
    <t>517000 · Workers Comp Insurance</t>
  </si>
  <si>
    <t>513130 · CA SUI</t>
  </si>
  <si>
    <t>Total 515260T · Unemployment Insurance</t>
  </si>
  <si>
    <t>Total 510000 · Salaries and Employee Benefits</t>
  </si>
  <si>
    <t>520000 · Services and Supplies</t>
  </si>
  <si>
    <t>529540T · Utilities</t>
  </si>
  <si>
    <t>520845 · Trash</t>
  </si>
  <si>
    <t>529500 · Electricity</t>
  </si>
  <si>
    <t>Total 529540T · Utilities</t>
  </si>
  <si>
    <t>524520T · Administrative Expenses</t>
  </si>
  <si>
    <t>518160 · Board Stipend</t>
  </si>
  <si>
    <t>520115 · Uniforms - Replacement Clothing</t>
  </si>
  <si>
    <t>520230 · Cellular Phone</t>
  </si>
  <si>
    <t>520705 · Food</t>
  </si>
  <si>
    <t>520930 · Insurance - Liability</t>
  </si>
  <si>
    <t>523100 · Memberships</t>
  </si>
  <si>
    <t>523290 · Bank Charges</t>
  </si>
  <si>
    <t>523621 · Subscriptions</t>
  </si>
  <si>
    <t>523660 · Computer Service</t>
  </si>
  <si>
    <t>523700 · Office Supplies</t>
  </si>
  <si>
    <t>523720 · Photocopies</t>
  </si>
  <si>
    <t>523760 · Postage/Mailing</t>
  </si>
  <si>
    <t>523840 · Computer Equip/Software/T1</t>
  </si>
  <si>
    <t>524530 · Storage Fees</t>
  </si>
  <si>
    <t>524540 · Payroll Processing Services</t>
  </si>
  <si>
    <t>524560 · Auditing</t>
  </si>
  <si>
    <t>524561 · Accounting</t>
  </si>
  <si>
    <t>525025 · Legal - General Counsel</t>
  </si>
  <si>
    <t>525030 · Paychex HR Support</t>
  </si>
  <si>
    <t>526420 · Advertising</t>
  </si>
  <si>
    <t>527880 · Training/ Staff</t>
  </si>
  <si>
    <t>528140 · Conferences and Meetings</t>
  </si>
  <si>
    <t>528980 · Meals</t>
  </si>
  <si>
    <t>528990 · Semi-Annual Team Dinner</t>
  </si>
  <si>
    <t>529040 · Private Mileage Reimbursement</t>
  </si>
  <si>
    <t>529050 · Website</t>
  </si>
  <si>
    <t>529550 · Water</t>
  </si>
  <si>
    <t>Total 524520T · Administrative Expenses</t>
  </si>
  <si>
    <t>524500T · Operational Expenses.</t>
  </si>
  <si>
    <t>521420 · Maint-Field Equipment</t>
  </si>
  <si>
    <t>522310 · Maint-Building Improvements</t>
  </si>
  <si>
    <t>522320 · Maint - Grounds</t>
  </si>
  <si>
    <t>522360 · Maintenance-Extermination</t>
  </si>
  <si>
    <t>523250 · Repurchase</t>
  </si>
  <si>
    <t>523800 · Engraving Expense</t>
  </si>
  <si>
    <t>525320 · Security Guard Services</t>
  </si>
  <si>
    <t>525600 · Security</t>
  </si>
  <si>
    <t>527100 · Fuel</t>
  </si>
  <si>
    <t>527180 · Operational Supplies</t>
  </si>
  <si>
    <t>528020 · Inventory</t>
  </si>
  <si>
    <t>Total 524500T · Operational Expenses.</t>
  </si>
  <si>
    <t>Total 520000 · Services and Supplies</t>
  </si>
  <si>
    <t>530000 · Other Charges</t>
  </si>
  <si>
    <t>535540T · Depreciation Building</t>
  </si>
  <si>
    <t>585000 · Depreciation</t>
  </si>
  <si>
    <t>Total 535540T · Depreciation Building</t>
  </si>
  <si>
    <t>530100 · Miscellaneous non-operating exp</t>
  </si>
  <si>
    <t>Total 530000 · Other Charges</t>
  </si>
  <si>
    <t>540000 · Capital Assets</t>
  </si>
  <si>
    <t>542060T · Cemetery Grounds</t>
  </si>
  <si>
    <t>542065 · Tree Renovaton</t>
  </si>
  <si>
    <t>Total 542060T · Cemetery Grounds</t>
  </si>
  <si>
    <t>540040T · Land, Purchase of Land</t>
  </si>
  <si>
    <t>540042 · Future Cemetery Property</t>
  </si>
  <si>
    <t>Total 540040T · Land, Purchase of Land</t>
  </si>
  <si>
    <t>546020T · Equipment, etc</t>
  </si>
  <si>
    <t>542070 · Well Motor</t>
  </si>
  <si>
    <t>546020 · Equipment - Automotive</t>
  </si>
  <si>
    <t>546240 · Mapping Software</t>
  </si>
  <si>
    <t>Total 546020T · Equipment, etc</t>
  </si>
  <si>
    <t>Total 540000 · Capital Assets</t>
  </si>
  <si>
    <t>731000 · Realized Gain (Loss) on Invest</t>
  </si>
  <si>
    <t>731100 · Unrealized Gain (Loss) on Invst</t>
  </si>
  <si>
    <t>777600 · Cenotaph</t>
  </si>
  <si>
    <t>515060 · State Unemployment Ins EDD</t>
  </si>
  <si>
    <t>524566 · Temp for efile</t>
  </si>
  <si>
    <t>542040 · Buildings, Capital Projects</t>
  </si>
  <si>
    <t>542060 · Improvements - Building</t>
  </si>
  <si>
    <t>551100E · Cont to Other Funds - End</t>
  </si>
  <si>
    <t>551100G · Cont to Other Funds - Gen</t>
  </si>
  <si>
    <t>District does not Budget for Depreciation</t>
  </si>
  <si>
    <t>District does not Budget for Realized and Unrealized Gain</t>
  </si>
  <si>
    <t>From Wage Schedule</t>
  </si>
  <si>
    <t>Formula based on Total Regular Salaries and Board Stipend</t>
  </si>
  <si>
    <t>Equals Endowment income, interest on County Endowment Fund, and Stifel income</t>
  </si>
  <si>
    <t>Updated from Invoice</t>
  </si>
  <si>
    <t xml:space="preserve">  GM Payout of Vacation</t>
  </si>
  <si>
    <t>510320 · Temporary Salaries</t>
  </si>
  <si>
    <t>Admin - Use Temp Service</t>
  </si>
  <si>
    <t xml:space="preserve">13 weeks = </t>
  </si>
  <si>
    <t>Risk Pay Est</t>
  </si>
  <si>
    <t>Hazard</t>
  </si>
  <si>
    <t>Average the old and new rates for the monthly rate, multiply by 2.7% surcharge</t>
  </si>
  <si>
    <t>Surcharge</t>
  </si>
  <si>
    <t>Total Medical</t>
  </si>
  <si>
    <t>Approved Budget 20-21</t>
  </si>
  <si>
    <t>Jul 20</t>
  </si>
  <si>
    <t>Aug 20</t>
  </si>
  <si>
    <t>Sep 20</t>
  </si>
  <si>
    <t>Oct 20</t>
  </si>
  <si>
    <t>Nov 20</t>
  </si>
  <si>
    <t>Dec 20</t>
  </si>
  <si>
    <t>Jan 21</t>
  </si>
  <si>
    <t>Feb 21</t>
  </si>
  <si>
    <t>Mar 21</t>
  </si>
  <si>
    <t>777031 · Niche Engraving</t>
  </si>
  <si>
    <t>777650 · Graveside Service</t>
  </si>
  <si>
    <t>524520 · County Journal Recording</t>
  </si>
  <si>
    <t>524800 · Drug Testing/Pre-Employment</t>
  </si>
  <si>
    <t>Estimated May 21</t>
  </si>
  <si>
    <t>Estimated Jun 21</t>
  </si>
  <si>
    <t>Estimated TOTAL 20-21</t>
  </si>
  <si>
    <t>5103x0 · Hazard Pay</t>
  </si>
  <si>
    <t>527280 · Awards/Recongnition</t>
  </si>
  <si>
    <t>542300 · Office Renovaton</t>
  </si>
  <si>
    <t>Draft Budget 21-22</t>
  </si>
  <si>
    <t>To be done</t>
  </si>
  <si>
    <t>Avel Walker</t>
  </si>
  <si>
    <t>2021-2022 Proposed</t>
  </si>
  <si>
    <t xml:space="preserve"> </t>
  </si>
  <si>
    <t>Admin</t>
  </si>
  <si>
    <t>$150, 5 Trustees, 15 meetings</t>
  </si>
  <si>
    <t>based on actual to date reports</t>
  </si>
  <si>
    <t>based on p&amp;l to date</t>
  </si>
  <si>
    <t>did not have in last years budget</t>
  </si>
  <si>
    <t>new charges passed on</t>
  </si>
  <si>
    <t>unsure</t>
  </si>
  <si>
    <t>possible sale backs</t>
  </si>
  <si>
    <t>license and any additions to software</t>
  </si>
  <si>
    <t>based on p&amp;l actual to date</t>
  </si>
  <si>
    <t>Per SDRMA Letter</t>
  </si>
  <si>
    <t>Higher than SDRMA Letter due to projected Temporary Salaries, etc (From Wage Schedule)</t>
  </si>
  <si>
    <t>Anticipate reopening for graveside services</t>
  </si>
  <si>
    <t>CSDA, Chamber, etc</t>
  </si>
  <si>
    <t>This is the final figure to enter.  It is the figure that makes the Net Ordinary income equal to the capital assets outlay. (Increase to take Net Income more negative)</t>
  </si>
  <si>
    <t>Apr 21</t>
  </si>
  <si>
    <t>purchasing diesel as needed now and the 12% Down's increase</t>
  </si>
  <si>
    <t>Increased for Trench Work and Body Cams</t>
  </si>
  <si>
    <t>Estimated increase in Security fees</t>
  </si>
  <si>
    <t>May 21</t>
  </si>
  <si>
    <t>Jun 21</t>
  </si>
  <si>
    <t>Jul 21</t>
  </si>
  <si>
    <t>Aug 21</t>
  </si>
  <si>
    <t>Sep 21</t>
  </si>
  <si>
    <t>Oct 21</t>
  </si>
  <si>
    <t>Nov 21</t>
  </si>
  <si>
    <t>Dec 21</t>
  </si>
  <si>
    <t>Jan 22</t>
  </si>
  <si>
    <t>Feb 22</t>
  </si>
  <si>
    <t>Mar 22</t>
  </si>
  <si>
    <t>703000 · Prop Tax Prior Unsecured</t>
  </si>
  <si>
    <t>510335 · Hazard Pay</t>
  </si>
  <si>
    <t>510320T · Temporary Salaries.</t>
  </si>
  <si>
    <t>Total 510320T · Temporary Salaries.</t>
  </si>
  <si>
    <t>542060 · Improvements -Building</t>
  </si>
  <si>
    <t>732000 · Gain from sale of property</t>
  </si>
  <si>
    <t>Estim May 22</t>
  </si>
  <si>
    <t>Estim June 22</t>
  </si>
  <si>
    <t>Draft Budget 22-23</t>
  </si>
  <si>
    <t>Approved Budget 22-23</t>
  </si>
  <si>
    <t>Jonathan Fernandez</t>
  </si>
  <si>
    <t>21-22 workmans comp</t>
  </si>
  <si>
    <t>From SDRMA Letter 3/22</t>
  </si>
  <si>
    <t>New Wage for New FY</t>
  </si>
  <si>
    <t xml:space="preserve">Admin </t>
  </si>
  <si>
    <t>2022-2023 Proposed</t>
  </si>
  <si>
    <t>Reduce Budget to reflect lower balance</t>
  </si>
  <si>
    <t>Reduce budget this year to bring closer to actual</t>
  </si>
  <si>
    <t>Increase to bring closer to actual</t>
  </si>
  <si>
    <t>Apr 22</t>
  </si>
  <si>
    <t>Coffee and snacks for Board Meeting and District Kitchen</t>
  </si>
  <si>
    <t>Check stock, envelopes, etc</t>
  </si>
  <si>
    <t>Admin to be hired as an Employee</t>
  </si>
  <si>
    <t xml:space="preserve">Road $1.48 million, </t>
  </si>
  <si>
    <t>551100C · Cont from Other Funds - ACO</t>
  </si>
  <si>
    <t>Capital Asset Outlay from ACO</t>
  </si>
  <si>
    <t>This is the final figure to enter.  It is the figure that makes the Net Ordinary income equal zero.</t>
  </si>
  <si>
    <t>From SDRMA Letter 3/22, Updated with Invoice 05/22</t>
  </si>
  <si>
    <t>Updated from Invoice 5/22</t>
  </si>
  <si>
    <t>Bring to reasonable figures with 061422 actuals</t>
  </si>
  <si>
    <t>Assume zero as Covid is mostly under control and fiscal year increases</t>
  </si>
  <si>
    <t>May 22</t>
  </si>
  <si>
    <t>Est 20 061422</t>
  </si>
  <si>
    <t>Approved Budget 21-22</t>
  </si>
  <si>
    <t>Previously $6500, same as last year's budget.  Bump to $16k 071222</t>
  </si>
  <si>
    <t>From Wage Schedule Updated 071222 due to bill</t>
  </si>
  <si>
    <t>Updated for Invoices received July 2022</t>
  </si>
  <si>
    <t>22-23 property liability</t>
  </si>
  <si>
    <t>Avel - Should be higher due to GM needing to be reimbursed</t>
  </si>
  <si>
    <t>Estimated TOTAL as of 06/30/22</t>
  </si>
  <si>
    <t>July</t>
  </si>
  <si>
    <t>August</t>
  </si>
  <si>
    <t>September</t>
  </si>
  <si>
    <t>October</t>
  </si>
  <si>
    <t>November</t>
  </si>
  <si>
    <t>December</t>
  </si>
  <si>
    <t>January</t>
  </si>
  <si>
    <t>February</t>
  </si>
  <si>
    <t>March</t>
  </si>
  <si>
    <t>April</t>
  </si>
  <si>
    <t>May</t>
  </si>
  <si>
    <t>June</t>
  </si>
  <si>
    <t>Check figure</t>
  </si>
  <si>
    <t>Not Consistent month to month</t>
  </si>
  <si>
    <t>23-24</t>
  </si>
  <si>
    <t>Incentive Pay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</si>
</sst>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0.00"/>
    <numFmt numFmtId="165" formatCode="0.0%"/>
    <numFmt numFmtId="166" formatCode="_(* #,##0.000_);_(* \(#,##0.000\);_(* &quot;-&quot;??_);_(@_)"/>
    <numFmt numFmtId="167" formatCode="0.00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8"/>
      <color indexed="81"/>
      <name val="Tahoma"/>
      <family val="2"/>
    </font>
    <font>
      <sz val="8"/>
      <color indexed="81"/>
      <name val="Tahoma"/>
      <family val="2"/>
    </font>
    <font>
      <b/>
      <sz val="8"/>
      <color rgb="FF000000"/>
      <name val="Arial"/>
      <family val="2"/>
    </font>
    <font>
      <sz val="8"/>
      <color rgb="FF000000"/>
      <name val="Arial"/>
      <family val="2"/>
    </font>
    <font>
      <sz val="14"/>
      <color theme="1"/>
      <name val="Calibri"/>
      <family val="2"/>
      <scheme val="minor"/>
    </font>
    <font>
      <sz val="8"/>
      <name val="Arial"/>
      <family val="2"/>
    </font>
    <font>
      <b/>
      <sz val="8"/>
      <name val="Arial"/>
      <family val="2"/>
    </font>
    <font>
      <b/>
      <sz val="1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bottom style="thick">
        <color indexed="64"/>
      </bottom>
      <diagonal/>
    </border>
    <border>
      <left/>
      <right/>
      <top/>
      <bottom style="medium">
        <color indexed="64"/>
      </bottom>
      <diagonal/>
    </border>
    <border>
      <left/>
      <right/>
      <top style="medium">
        <color indexed="64"/>
      </top>
      <bottom style="medium">
        <color indexed="64"/>
      </bottom>
      <diagonal/>
    </border>
    <border>
      <left/>
      <right/>
      <top style="medium">
        <color indexed="64"/>
      </top>
      <bottom/>
      <diagonal/>
    </border>
    <border>
      <left/>
      <right/>
      <top style="medium">
        <color indexed="64"/>
      </top>
      <bottom style="double">
        <color indexed="64"/>
      </bottom>
      <diagonal/>
    </border>
    <border>
      <left/>
      <right/>
      <top style="thin">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cellStyleXfs>
  <cellXfs count="127">
    <xf numFmtId="0" fontId="0" fillId="0" borderId="0" xfId="0"/>
    <xf numFmtId="0" fontId="0" fillId="0" borderId="0" xfId="0" applyAlignment="1">
      <alignment horizontal="center"/>
    </xf>
    <xf numFmtId="43" fontId="0" fillId="0" borderId="0" xfId="1" applyFont="1"/>
    <xf numFmtId="43" fontId="0" fillId="2" borderId="0" xfId="1" applyFont="1" applyFill="1"/>
    <xf numFmtId="0" fontId="0" fillId="2" borderId="0" xfId="0" applyFill="1"/>
    <xf numFmtId="165" fontId="0" fillId="0" borderId="0" xfId="2" applyNumberFormat="1" applyFont="1"/>
    <xf numFmtId="10" fontId="0" fillId="3" borderId="0" xfId="2" applyNumberFormat="1" applyFont="1" applyFill="1"/>
    <xf numFmtId="43" fontId="0" fillId="0" borderId="1" xfId="1" applyFont="1" applyBorder="1"/>
    <xf numFmtId="165" fontId="0" fillId="0" borderId="0" xfId="2" applyNumberFormat="1" applyFont="1" applyFill="1" applyBorder="1"/>
    <xf numFmtId="43" fontId="0" fillId="0" borderId="0" xfId="1" applyFont="1" applyFill="1" applyBorder="1" applyAlignment="1">
      <alignment horizontal="center" wrapText="1"/>
    </xf>
    <xf numFmtId="10" fontId="0" fillId="3" borderId="0" xfId="2" applyNumberFormat="1" applyFont="1" applyFill="1" applyBorder="1" applyAlignment="1">
      <alignment horizontal="center" wrapText="1"/>
    </xf>
    <xf numFmtId="165" fontId="0" fillId="2" borderId="0" xfId="2" applyNumberFormat="1" applyFont="1" applyFill="1"/>
    <xf numFmtId="43" fontId="0" fillId="0" borderId="0" xfId="1" applyFont="1" applyAlignment="1">
      <alignment horizontal="right"/>
    </xf>
    <xf numFmtId="10" fontId="0" fillId="0" borderId="0" xfId="2" applyNumberFormat="1" applyFont="1"/>
    <xf numFmtId="43" fontId="3" fillId="0" borderId="0" xfId="1" applyFont="1"/>
    <xf numFmtId="43" fontId="3" fillId="2" borderId="0" xfId="1" applyFont="1" applyFill="1"/>
    <xf numFmtId="43" fontId="0" fillId="0" borderId="7" xfId="1" applyFont="1" applyBorder="1"/>
    <xf numFmtId="43" fontId="0" fillId="4" borderId="7" xfId="1" applyFont="1" applyFill="1" applyBorder="1"/>
    <xf numFmtId="43" fontId="0" fillId="0" borderId="0" xfId="0" applyNumberFormat="1"/>
    <xf numFmtId="0" fontId="2" fillId="0" borderId="0" xfId="0" applyFont="1"/>
    <xf numFmtId="10" fontId="0" fillId="0" borderId="0" xfId="2" applyNumberFormat="1" applyFont="1" applyAlignment="1">
      <alignment horizontal="right"/>
    </xf>
    <xf numFmtId="0" fontId="0" fillId="0" borderId="8" xfId="0" applyBorder="1"/>
    <xf numFmtId="0" fontId="0" fillId="0" borderId="5" xfId="0" applyBorder="1"/>
    <xf numFmtId="10" fontId="0" fillId="0" borderId="5" xfId="2" applyNumberFormat="1" applyFont="1" applyBorder="1"/>
    <xf numFmtId="43" fontId="0" fillId="0" borderId="9" xfId="1" applyFont="1" applyBorder="1"/>
    <xf numFmtId="43" fontId="0" fillId="0" borderId="10" xfId="1" applyFont="1" applyBorder="1"/>
    <xf numFmtId="0" fontId="0" fillId="0" borderId="11" xfId="0" applyBorder="1"/>
    <xf numFmtId="0" fontId="0" fillId="0" borderId="3" xfId="0" applyBorder="1"/>
    <xf numFmtId="10" fontId="0" fillId="0" borderId="3" xfId="2" applyNumberFormat="1" applyFont="1" applyBorder="1"/>
    <xf numFmtId="43" fontId="0" fillId="0" borderId="12" xfId="1" applyFont="1" applyBorder="1"/>
    <xf numFmtId="166" fontId="0" fillId="0" borderId="0" xfId="1" applyNumberFormat="1" applyFont="1"/>
    <xf numFmtId="10" fontId="0" fillId="0" borderId="0" xfId="2" applyNumberFormat="1" applyFont="1" applyFill="1" applyBorder="1" applyAlignment="1">
      <alignment horizontal="center" wrapText="1"/>
    </xf>
    <xf numFmtId="167" fontId="0" fillId="0" borderId="0" xfId="2" applyNumberFormat="1" applyFont="1"/>
    <xf numFmtId="43" fontId="0" fillId="0" borderId="5" xfId="1" applyFont="1" applyBorder="1"/>
    <xf numFmtId="0" fontId="0" fillId="0" borderId="13" xfId="0" applyBorder="1"/>
    <xf numFmtId="43" fontId="0" fillId="0" borderId="0" xfId="1" applyFont="1" applyBorder="1"/>
    <xf numFmtId="43" fontId="0" fillId="0" borderId="14" xfId="1" applyFont="1" applyBorder="1"/>
    <xf numFmtId="43" fontId="0" fillId="5" borderId="0" xfId="1" applyFont="1" applyFill="1" applyBorder="1"/>
    <xf numFmtId="43" fontId="0" fillId="0" borderId="15" xfId="1" applyFont="1" applyBorder="1"/>
    <xf numFmtId="43" fontId="0" fillId="0" borderId="16" xfId="1" applyFont="1" applyBorder="1"/>
    <xf numFmtId="0" fontId="0" fillId="6" borderId="0" xfId="0" applyFill="1"/>
    <xf numFmtId="43" fontId="0" fillId="6" borderId="0" xfId="1" applyFont="1" applyFill="1"/>
    <xf numFmtId="43" fontId="3" fillId="6" borderId="0" xfId="1" applyFont="1" applyFill="1"/>
    <xf numFmtId="43" fontId="0" fillId="6" borderId="0" xfId="1" applyFont="1" applyFill="1" applyAlignment="1">
      <alignment horizontal="right"/>
    </xf>
    <xf numFmtId="10" fontId="0" fillId="6" borderId="0" xfId="2" applyNumberFormat="1" applyFont="1" applyFill="1"/>
    <xf numFmtId="43" fontId="0" fillId="6" borderId="10" xfId="1" applyFont="1" applyFill="1" applyBorder="1"/>
    <xf numFmtId="43" fontId="0" fillId="6" borderId="7" xfId="1" applyFont="1" applyFill="1" applyBorder="1"/>
    <xf numFmtId="0" fontId="0" fillId="0" borderId="0" xfId="0" applyAlignment="1">
      <alignment horizontal="center" wrapText="1"/>
    </xf>
    <xf numFmtId="49" fontId="6" fillId="0" borderId="0" xfId="0" applyNumberFormat="1" applyFont="1" applyAlignment="1">
      <alignment horizontal="center"/>
    </xf>
    <xf numFmtId="49" fontId="6" fillId="0" borderId="2" xfId="0" applyNumberFormat="1" applyFont="1" applyBorder="1" applyAlignment="1">
      <alignment horizontal="center"/>
    </xf>
    <xf numFmtId="49" fontId="6" fillId="0" borderId="0" xfId="0" applyNumberFormat="1" applyFont="1"/>
    <xf numFmtId="164" fontId="7" fillId="0" borderId="0" xfId="0" applyNumberFormat="1" applyFont="1"/>
    <xf numFmtId="164" fontId="7" fillId="0" borderId="3" xfId="0" applyNumberFormat="1" applyFont="1" applyBorder="1"/>
    <xf numFmtId="164" fontId="7" fillId="0" borderId="4" xfId="0" applyNumberFormat="1" applyFont="1" applyBorder="1"/>
    <xf numFmtId="164" fontId="7" fillId="0" borderId="5" xfId="0" applyNumberFormat="1" applyFont="1" applyBorder="1"/>
    <xf numFmtId="164" fontId="6" fillId="0" borderId="6" xfId="0" applyNumberFormat="1" applyFont="1" applyBorder="1"/>
    <xf numFmtId="0" fontId="6" fillId="0" borderId="0" xfId="0" applyFont="1"/>
    <xf numFmtId="49" fontId="6" fillId="0" borderId="0" xfId="0" applyNumberFormat="1" applyFont="1" applyAlignment="1">
      <alignment horizontal="center" wrapText="1"/>
    </xf>
    <xf numFmtId="49" fontId="6" fillId="0" borderId="2" xfId="0" applyNumberFormat="1" applyFont="1" applyBorder="1" applyAlignment="1">
      <alignment horizontal="center" wrapText="1"/>
    </xf>
    <xf numFmtId="43" fontId="0" fillId="0" borderId="15" xfId="0" applyNumberFormat="1" applyBorder="1"/>
    <xf numFmtId="164" fontId="7" fillId="0" borderId="15" xfId="0" applyNumberFormat="1" applyFont="1" applyBorder="1"/>
    <xf numFmtId="164" fontId="7" fillId="0" borderId="10" xfId="0" applyNumberFormat="1" applyFont="1" applyBorder="1"/>
    <xf numFmtId="164" fontId="0" fillId="0" borderId="0" xfId="0" applyNumberFormat="1"/>
    <xf numFmtId="49" fontId="6" fillId="0" borderId="0" xfId="0" applyNumberFormat="1" applyFont="1" applyAlignment="1">
      <alignment horizontal="center" vertical="center" wrapText="1"/>
    </xf>
    <xf numFmtId="49" fontId="6" fillId="0" borderId="2" xfId="0" applyNumberFormat="1" applyFont="1" applyBorder="1" applyAlignment="1">
      <alignment horizontal="center" vertical="center" wrapText="1"/>
    </xf>
    <xf numFmtId="0" fontId="0" fillId="0" borderId="0" xfId="0" applyAlignment="1">
      <alignment horizontal="center" vertical="center" wrapText="1"/>
    </xf>
    <xf numFmtId="49" fontId="10" fillId="0" borderId="2" xfId="0" applyNumberFormat="1" applyFont="1" applyBorder="1" applyAlignment="1">
      <alignment horizontal="center" wrapText="1"/>
    </xf>
    <xf numFmtId="164" fontId="9" fillId="0" borderId="0" xfId="0" applyNumberFormat="1" applyFont="1"/>
    <xf numFmtId="164" fontId="9" fillId="0" borderId="0" xfId="0" applyNumberFormat="1" applyFont="1" applyAlignment="1">
      <alignment wrapText="1"/>
    </xf>
    <xf numFmtId="164" fontId="9" fillId="0" borderId="3" xfId="0" applyNumberFormat="1" applyFont="1" applyBorder="1"/>
    <xf numFmtId="164" fontId="9" fillId="0" borderId="3" xfId="0" applyNumberFormat="1" applyFont="1" applyBorder="1" applyAlignment="1">
      <alignment wrapText="1"/>
    </xf>
    <xf numFmtId="164" fontId="9" fillId="0" borderId="4" xfId="0" applyNumberFormat="1" applyFont="1" applyBorder="1"/>
    <xf numFmtId="164" fontId="9" fillId="0" borderId="4" xfId="0" applyNumberFormat="1" applyFont="1" applyBorder="1" applyAlignment="1">
      <alignment wrapText="1"/>
    </xf>
    <xf numFmtId="164" fontId="9" fillId="0" borderId="5" xfId="0" applyNumberFormat="1" applyFont="1" applyBorder="1"/>
    <xf numFmtId="164" fontId="9" fillId="0" borderId="5" xfId="0" applyNumberFormat="1" applyFont="1" applyBorder="1" applyAlignment="1">
      <alignment wrapText="1"/>
    </xf>
    <xf numFmtId="164" fontId="9" fillId="0" borderId="10" xfId="0" applyNumberFormat="1" applyFont="1" applyBorder="1"/>
    <xf numFmtId="164" fontId="9" fillId="0" borderId="10" xfId="0" applyNumberFormat="1" applyFont="1" applyBorder="1" applyAlignment="1">
      <alignment wrapText="1"/>
    </xf>
    <xf numFmtId="164" fontId="9" fillId="0" borderId="15" xfId="0" applyNumberFormat="1" applyFont="1" applyBorder="1"/>
    <xf numFmtId="164" fontId="9" fillId="0" borderId="15" xfId="0" applyNumberFormat="1" applyFont="1" applyBorder="1" applyAlignment="1">
      <alignment wrapText="1"/>
    </xf>
    <xf numFmtId="164" fontId="10" fillId="0" borderId="6" xfId="0" applyNumberFormat="1" applyFont="1" applyBorder="1"/>
    <xf numFmtId="164" fontId="10" fillId="0" borderId="6" xfId="0" applyNumberFormat="1" applyFont="1" applyBorder="1" applyAlignment="1">
      <alignment wrapText="1"/>
    </xf>
    <xf numFmtId="0" fontId="3" fillId="0" borderId="0" xfId="0" applyFont="1"/>
    <xf numFmtId="0" fontId="3" fillId="0" borderId="0" xfId="0" applyFont="1" applyAlignment="1">
      <alignment wrapText="1"/>
    </xf>
    <xf numFmtId="49" fontId="6" fillId="4" borderId="0" xfId="0" applyNumberFormat="1" applyFont="1" applyFill="1" applyAlignment="1">
      <alignment horizontal="center" wrapText="1"/>
    </xf>
    <xf numFmtId="49" fontId="6" fillId="4" borderId="2" xfId="0" applyNumberFormat="1" applyFont="1" applyFill="1" applyBorder="1" applyAlignment="1">
      <alignment horizontal="center" wrapText="1"/>
    </xf>
    <xf numFmtId="49" fontId="10" fillId="4" borderId="2" xfId="0" applyNumberFormat="1" applyFont="1" applyFill="1" applyBorder="1" applyAlignment="1">
      <alignment horizontal="center" wrapText="1"/>
    </xf>
    <xf numFmtId="49" fontId="6" fillId="4" borderId="0" xfId="0" applyNumberFormat="1" applyFont="1" applyFill="1"/>
    <xf numFmtId="164" fontId="7" fillId="4" borderId="0" xfId="0" applyNumberFormat="1" applyFont="1" applyFill="1"/>
    <xf numFmtId="164" fontId="9" fillId="4" borderId="0" xfId="0" applyNumberFormat="1" applyFont="1" applyFill="1"/>
    <xf numFmtId="164" fontId="9" fillId="4" borderId="0" xfId="0" applyNumberFormat="1" applyFont="1" applyFill="1" applyAlignment="1">
      <alignment wrapText="1"/>
    </xf>
    <xf numFmtId="164" fontId="7" fillId="4" borderId="3" xfId="0" applyNumberFormat="1" applyFont="1" applyFill="1" applyBorder="1"/>
    <xf numFmtId="164" fontId="9" fillId="4" borderId="3" xfId="0" applyNumberFormat="1" applyFont="1" applyFill="1" applyBorder="1"/>
    <xf numFmtId="164" fontId="9" fillId="4" borderId="3" xfId="0" applyNumberFormat="1" applyFont="1" applyFill="1" applyBorder="1" applyAlignment="1">
      <alignment wrapText="1"/>
    </xf>
    <xf numFmtId="164" fontId="7" fillId="4" borderId="4" xfId="0" applyNumberFormat="1" applyFont="1" applyFill="1" applyBorder="1"/>
    <xf numFmtId="164" fontId="9" fillId="4" borderId="4" xfId="0" applyNumberFormat="1" applyFont="1" applyFill="1" applyBorder="1"/>
    <xf numFmtId="164" fontId="9" fillId="4" borderId="4" xfId="0" applyNumberFormat="1" applyFont="1" applyFill="1" applyBorder="1" applyAlignment="1">
      <alignment wrapText="1"/>
    </xf>
    <xf numFmtId="164" fontId="7" fillId="4" borderId="5" xfId="0" applyNumberFormat="1" applyFont="1" applyFill="1" applyBorder="1"/>
    <xf numFmtId="164" fontId="9" fillId="4" borderId="5" xfId="0" applyNumberFormat="1" applyFont="1" applyFill="1" applyBorder="1"/>
    <xf numFmtId="164" fontId="9" fillId="4" borderId="5" xfId="0" applyNumberFormat="1" applyFont="1" applyFill="1" applyBorder="1" applyAlignment="1">
      <alignment wrapText="1"/>
    </xf>
    <xf numFmtId="164" fontId="7" fillId="4" borderId="10" xfId="0" applyNumberFormat="1" applyFont="1" applyFill="1" applyBorder="1"/>
    <xf numFmtId="164" fontId="9" fillId="4" borderId="10" xfId="0" applyNumberFormat="1" applyFont="1" applyFill="1" applyBorder="1"/>
    <xf numFmtId="164" fontId="9" fillId="4" borderId="10" xfId="0" applyNumberFormat="1" applyFont="1" applyFill="1" applyBorder="1" applyAlignment="1">
      <alignment wrapText="1"/>
    </xf>
    <xf numFmtId="164" fontId="7" fillId="4" borderId="15" xfId="0" applyNumberFormat="1" applyFont="1" applyFill="1" applyBorder="1"/>
    <xf numFmtId="164" fontId="9" fillId="4" borderId="15" xfId="0" applyNumberFormat="1" applyFont="1" applyFill="1" applyBorder="1"/>
    <xf numFmtId="164" fontId="9" fillId="4" borderId="15" xfId="0" applyNumberFormat="1" applyFont="1" applyFill="1" applyBorder="1" applyAlignment="1">
      <alignment wrapText="1"/>
    </xf>
    <xf numFmtId="0" fontId="6" fillId="4" borderId="0" xfId="0" applyFont="1" applyFill="1"/>
    <xf numFmtId="164" fontId="6" fillId="4" borderId="6" xfId="0" applyNumberFormat="1" applyFont="1" applyFill="1" applyBorder="1"/>
    <xf numFmtId="164" fontId="10" fillId="4" borderId="6" xfId="0" applyNumberFormat="1" applyFont="1" applyFill="1" applyBorder="1"/>
    <xf numFmtId="164" fontId="10" fillId="4" borderId="6" xfId="0" applyNumberFormat="1" applyFont="1" applyFill="1" applyBorder="1" applyAlignment="1">
      <alignment wrapText="1"/>
    </xf>
    <xf numFmtId="0" fontId="0" fillId="4" borderId="0" xfId="0" applyFill="1"/>
    <xf numFmtId="0" fontId="3" fillId="4" borderId="0" xfId="0" applyFont="1" applyFill="1"/>
    <xf numFmtId="0" fontId="3" fillId="4" borderId="0" xfId="0" applyFont="1" applyFill="1" applyAlignment="1">
      <alignment wrapText="1"/>
    </xf>
    <xf numFmtId="43" fontId="0" fillId="0" borderId="1" xfId="1" applyFont="1" applyBorder="1" applyAlignment="1">
      <alignment wrapText="1"/>
    </xf>
    <xf numFmtId="164" fontId="7" fillId="2" borderId="5" xfId="0" applyNumberFormat="1" applyFont="1" applyFill="1" applyBorder="1"/>
    <xf numFmtId="164" fontId="7" fillId="7" borderId="3" xfId="0" applyNumberFormat="1" applyFont="1" applyFill="1" applyBorder="1"/>
    <xf numFmtId="164" fontId="9" fillId="7" borderId="0" xfId="0" applyNumberFormat="1" applyFont="1" applyFill="1"/>
    <xf numFmtId="164" fontId="7" fillId="7" borderId="5" xfId="0" applyNumberFormat="1" applyFont="1" applyFill="1" applyBorder="1"/>
    <xf numFmtId="164" fontId="7" fillId="5" borderId="0" xfId="0" applyNumberFormat="1" applyFont="1" applyFill="1"/>
    <xf numFmtId="164" fontId="9" fillId="5" borderId="0" xfId="0" applyNumberFormat="1" applyFont="1" applyFill="1"/>
    <xf numFmtId="164" fontId="9" fillId="5" borderId="3" xfId="0" applyNumberFormat="1" applyFont="1" applyFill="1" applyBorder="1"/>
    <xf numFmtId="0" fontId="0" fillId="5" borderId="0" xfId="0" applyFill="1"/>
    <xf numFmtId="43" fontId="0" fillId="8" borderId="0" xfId="1" applyFont="1" applyFill="1"/>
    <xf numFmtId="10" fontId="0" fillId="8" borderId="0" xfId="2" applyNumberFormat="1" applyFont="1" applyFill="1"/>
    <xf numFmtId="43" fontId="2" fillId="2" borderId="0" xfId="1" applyFont="1" applyFill="1"/>
    <xf numFmtId="43" fontId="11" fillId="2" borderId="0" xfId="1" applyFont="1" applyFill="1"/>
    <xf numFmtId="165" fontId="2" fillId="8" borderId="0" xfId="2" applyNumberFormat="1" applyFont="1" applyFill="1"/>
    <xf numFmtId="43" fontId="0" fillId="8" borderId="7" xfId="1" applyFont="1" applyFill="1" applyBorder="1"/>
  </cellXfs>
  <cellStyles count="4">
    <cellStyle name="Comma" xfId="1" builtinId="3"/>
    <cellStyle name="Normal" xfId="0" builtinId="0"/>
    <cellStyle name="Normal 6" xfId="3" xr:uid="{9017B22D-7062-4B70-A86D-39DBDAC715B3}"/>
    <cellStyle name="Percent" xfId="2" builtinId="5"/>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12.xml><?xml version="1.0" encoding="utf-8"?>
<ax:ocx xmlns:ax="http://schemas.microsoft.com/office/2006/activeX" xmlns:r="http://schemas.openxmlformats.org/officeDocument/2006/relationships" ax:classid="{8BD21D10-EC42-11CE-9E0D-00AA006002F3}" ax:persistence="persistStreamInit" r:id="rId1"/>
</file>

<file path=xl/activeX/activeX13.xml><?xml version="1.0" encoding="utf-8"?>
<ax:ocx xmlns:ax="http://schemas.microsoft.com/office/2006/activeX" xmlns:r="http://schemas.openxmlformats.org/officeDocument/2006/relationships" ax:classid="{8BD21D10-EC42-11CE-9E0D-00AA006002F3}" ax:persistence="persistStreamInit" r:id="rId1"/>
</file>

<file path=xl/activeX/activeX14.xml><?xml version="1.0" encoding="utf-8"?>
<ax:ocx xmlns:ax="http://schemas.microsoft.com/office/2006/activeX" xmlns:r="http://schemas.openxmlformats.org/officeDocument/2006/relationships" ax:classid="{8BD21D10-EC42-11CE-9E0D-00AA006002F3}" ax:persistence="persistStreamInit" r:id="rId1"/>
</file>

<file path=xl/activeX/activeX15.xml><?xml version="1.0" encoding="utf-8"?>
<ax:ocx xmlns:ax="http://schemas.microsoft.com/office/2006/activeX" xmlns:r="http://schemas.openxmlformats.org/officeDocument/2006/relationships" ax:classid="{8BD21D10-EC42-11CE-9E0D-00AA006002F3}" ax:persistence="persistStreamInit" r:id="rId1"/>
</file>

<file path=xl/activeX/activeX16.xml><?xml version="1.0" encoding="utf-8"?>
<ax:ocx xmlns:ax="http://schemas.microsoft.com/office/2006/activeX" xmlns:r="http://schemas.openxmlformats.org/officeDocument/2006/relationships" ax:classid="{8BD21D10-EC42-11CE-9E0D-00AA006002F3}" ax:persistence="persistStreamInit" r:id="rId1"/>
</file>

<file path=xl/activeX/activeX17.xml><?xml version="1.0" encoding="utf-8"?>
<ax:ocx xmlns:ax="http://schemas.microsoft.com/office/2006/activeX" xmlns:r="http://schemas.openxmlformats.org/officeDocument/2006/relationships" ax:classid="{8BD21D10-EC42-11CE-9E0D-00AA006002F3}" ax:persistence="persistStreamInit" r:id="rId1"/>
</file>

<file path=xl/activeX/activeX18.xml><?xml version="1.0" encoding="utf-8"?>
<ax:ocx xmlns:ax="http://schemas.microsoft.com/office/2006/activeX" xmlns:r="http://schemas.openxmlformats.org/officeDocument/2006/relationships" ax:classid="{8BD21D10-EC42-11CE-9E0D-00AA006002F3}" ax:persistence="persistStreamInit" r:id="rId1"/>
</file>

<file path=xl/activeX/activeX19.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20.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2" Type="http://schemas.openxmlformats.org/officeDocument/2006/relationships/image" Target="../media/image19.emf"/><Relationship Id="rId1" Type="http://schemas.openxmlformats.org/officeDocument/2006/relationships/image" Target="../media/image20.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8.emf"/><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10.emf"/></Relationships>
</file>

<file path=xl/drawings/_rels/vmlDrawing6.vml.rels><?xml version="1.0" encoding="UTF-8" standalone="yes"?>
<Relationships xmlns="http://schemas.openxmlformats.org/package/2006/relationships"><Relationship Id="rId2" Type="http://schemas.openxmlformats.org/officeDocument/2006/relationships/image" Target="../media/image11.emf"/><Relationship Id="rId1" Type="http://schemas.openxmlformats.org/officeDocument/2006/relationships/image" Target="../media/image12.emf"/></Relationships>
</file>

<file path=xl/drawings/_rels/vmlDrawing7.vml.rels><?xml version="1.0" encoding="UTF-8" standalone="yes"?>
<Relationships xmlns="http://schemas.openxmlformats.org/package/2006/relationships"><Relationship Id="rId2" Type="http://schemas.openxmlformats.org/officeDocument/2006/relationships/image" Target="../media/image14.emf"/><Relationship Id="rId1" Type="http://schemas.openxmlformats.org/officeDocument/2006/relationships/image" Target="../media/image13.emf"/></Relationships>
</file>

<file path=xl/drawings/_rels/vmlDrawing8.vml.rels><?xml version="1.0" encoding="UTF-8" standalone="yes"?>
<Relationships xmlns="http://schemas.openxmlformats.org/package/2006/relationships"><Relationship Id="rId2" Type="http://schemas.openxmlformats.org/officeDocument/2006/relationships/image" Target="../media/image16.emf"/><Relationship Id="rId1" Type="http://schemas.openxmlformats.org/officeDocument/2006/relationships/image" Target="../media/image15.emf"/></Relationships>
</file>

<file path=xl/drawings/_rels/vmlDrawing9.vml.rels><?xml version="1.0" encoding="UTF-8" standalone="yes"?>
<Relationships xmlns="http://schemas.openxmlformats.org/package/2006/relationships"><Relationship Id="rId2" Type="http://schemas.openxmlformats.org/officeDocument/2006/relationships/image" Target="../media/image18.emf"/><Relationship Id="rId1" Type="http://schemas.openxmlformats.org/officeDocument/2006/relationships/image" Target="../media/image1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55649" name="FILTER" hidden="1">
              <a:extLst>
                <a:ext uri="{63B3BB69-23CF-44E3-9099-C40C66FF867C}">
                  <a14:compatExt spid="_x0000_s155649"/>
                </a:ext>
                <a:ext uri="{FF2B5EF4-FFF2-40B4-BE49-F238E27FC236}">
                  <a16:creationId xmlns:a16="http://schemas.microsoft.com/office/drawing/2014/main" id="{00000000-0008-0000-0000-00000160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55650" name="HEADER" hidden="1">
              <a:extLst>
                <a:ext uri="{63B3BB69-23CF-44E3-9099-C40C66FF867C}">
                  <a14:compatExt spid="_x0000_s155650"/>
                </a:ext>
                <a:ext uri="{FF2B5EF4-FFF2-40B4-BE49-F238E27FC236}">
                  <a16:creationId xmlns:a16="http://schemas.microsoft.com/office/drawing/2014/main" id="{00000000-0008-0000-0000-00000260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228600</xdr:rowOff>
        </xdr:to>
        <xdr:sp macro="" textlink="">
          <xdr:nvSpPr>
            <xdr:cNvPr id="104449" name="FILTER" hidden="1">
              <a:extLst>
                <a:ext uri="{63B3BB69-23CF-44E3-9099-C40C66FF867C}">
                  <a14:compatExt spid="_x0000_s104449"/>
                </a:ext>
                <a:ext uri="{FF2B5EF4-FFF2-40B4-BE49-F238E27FC236}">
                  <a16:creationId xmlns:a16="http://schemas.microsoft.com/office/drawing/2014/main" id="{00000000-0008-0000-0A00-0000019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228600</xdr:rowOff>
        </xdr:to>
        <xdr:sp macro="" textlink="">
          <xdr:nvSpPr>
            <xdr:cNvPr id="104450" name="HEADER" hidden="1">
              <a:extLst>
                <a:ext uri="{63B3BB69-23CF-44E3-9099-C40C66FF867C}">
                  <a14:compatExt spid="_x0000_s104450"/>
                </a:ext>
                <a:ext uri="{FF2B5EF4-FFF2-40B4-BE49-F238E27FC236}">
                  <a16:creationId xmlns:a16="http://schemas.microsoft.com/office/drawing/2014/main" id="{00000000-0008-0000-0A00-0000029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xdr:from>
      <xdr:col>0</xdr:col>
      <xdr:colOff>466725</xdr:colOff>
      <xdr:row>0</xdr:row>
      <xdr:rowOff>190499</xdr:rowOff>
    </xdr:from>
    <xdr:to>
      <xdr:col>9</xdr:col>
      <xdr:colOff>219075</xdr:colOff>
      <xdr:row>54</xdr:row>
      <xdr:rowOff>28574</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466725" y="190499"/>
          <a:ext cx="5238750" cy="10125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Enter Annual Budget into QuickBooks: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Go to Company, Planning &amp; Budgeting, Setup Budgets.  If the appropriate year does not come up on the screen, select Create New Budget.  Then select the year.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Enter the July amount for each</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expense.</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Then go to the top July amount, click on it, and press ‘Copy Across’.  </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Then go back to the top and adjust any</a:t>
          </a:r>
          <a:r>
            <a:rPr lang="en-US" sz="1100" baseline="0">
              <a:solidFill>
                <a:schemeClr val="dk1"/>
              </a:solidFill>
              <a:effectLst/>
              <a:latin typeface="+mn-lt"/>
              <a:ea typeface="+mn-ea"/>
              <a:cs typeface="+mn-cs"/>
            </a:rPr>
            <a:t> June items that are different due to rounding.</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*Note -there will also be some other items that must be entered month by month.  I will try to mark those.  Please see the list, below.</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To validate your input, go to Reports,</a:t>
          </a:r>
          <a:r>
            <a:rPr lang="en-US" sz="1100" baseline="0">
              <a:solidFill>
                <a:schemeClr val="dk1"/>
              </a:solidFill>
              <a:effectLst/>
              <a:latin typeface="+mn-lt"/>
              <a:ea typeface="+mn-ea"/>
              <a:cs typeface="+mn-cs"/>
            </a:rPr>
            <a:t> Budgets and Forecasts, Budget overview.  Select the proper budget from the dropdown menu.  Click Next.  Click Next, Flick Finish.  </a:t>
          </a:r>
        </a:p>
        <a:p>
          <a:r>
            <a:rPr lang="en-US" sz="1100" baseline="0">
              <a:solidFill>
                <a:schemeClr val="dk1"/>
              </a:solidFill>
              <a:effectLst/>
              <a:latin typeface="+mn-lt"/>
              <a:ea typeface="+mn-ea"/>
              <a:cs typeface="+mn-cs"/>
            </a:rPr>
            <a:t>Change the 'dates' to This fiscal year and the 'Show Column' to Total Only.</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Note – for most of the accounts we will enter 1/12 of the total budget for each month.  For the property tax revenue, that does not give us a reasonable picture.  We must take the previous year actual revenue each month as a percentage of the total.  Bump this percentage up against the budgeted amount to give the budgeted amount per month.</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We shoul</a:t>
          </a:r>
          <a:r>
            <a:rPr lang="en-US" sz="1100" baseline="0">
              <a:solidFill>
                <a:schemeClr val="dk1"/>
              </a:solidFill>
              <a:effectLst/>
              <a:latin typeface="+mn-lt"/>
              <a:ea typeface="+mn-ea"/>
              <a:cs typeface="+mn-cs"/>
            </a:rPr>
            <a:t>d adjust the monthly for:</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Property Taxes, Current Secured.  December 32% January 25% April 10% May 32% </a:t>
          </a:r>
        </a:p>
        <a:p>
          <a:r>
            <a:rPr lang="en-US" sz="1100" baseline="0">
              <a:solidFill>
                <a:schemeClr val="dk1"/>
              </a:solidFill>
              <a:effectLst/>
              <a:latin typeface="+mn-lt"/>
              <a:ea typeface="+mn-ea"/>
              <a:cs typeface="+mn-cs"/>
            </a:rPr>
            <a:t>Current Unsecured 100% October</a:t>
          </a:r>
        </a:p>
        <a:p>
          <a:r>
            <a:rPr lang="en-US" sz="1100" baseline="0">
              <a:solidFill>
                <a:schemeClr val="dk1"/>
              </a:solidFill>
              <a:effectLst/>
              <a:latin typeface="+mn-lt"/>
              <a:ea typeface="+mn-ea"/>
              <a:cs typeface="+mn-cs"/>
            </a:rPr>
            <a:t>RDV apportionment 50% Dec and June</a:t>
          </a:r>
        </a:p>
        <a:p>
          <a:r>
            <a:rPr lang="en-US" sz="1100" baseline="0">
              <a:solidFill>
                <a:schemeClr val="dk1"/>
              </a:solidFill>
              <a:effectLst/>
              <a:latin typeface="+mn-lt"/>
              <a:ea typeface="+mn-ea"/>
              <a:cs typeface="+mn-cs"/>
            </a:rPr>
            <a:t>All others only June.</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County Interest - Only comes in quarterly.  Divide total by 4 for October, January, April, zero for everything else.  June shoudl equal October, January and April.</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Wages - Less for July due to accrual back, more for three month payrolls.  7.5% most months.  2/3 that for July.  1-1/3 that for June.  10% for 3- payday months.</a:t>
          </a:r>
        </a:p>
        <a:p>
          <a:r>
            <a:rPr lang="en-US" sz="1100" baseline="0">
              <a:solidFill>
                <a:schemeClr val="dk1"/>
              </a:solidFill>
              <a:effectLst/>
              <a:latin typeface="+mn-lt"/>
              <a:ea typeface="+mn-ea"/>
              <a:cs typeface="+mn-cs"/>
            </a:rPr>
            <a:t>Wages- for GM vacation payout - Traditionally, 14% of the total is in January.</a:t>
          </a:r>
        </a:p>
        <a:p>
          <a:r>
            <a:rPr lang="en-US" sz="1100" baseline="0">
              <a:solidFill>
                <a:schemeClr val="dk1"/>
              </a:solidFill>
              <a:effectLst/>
              <a:latin typeface="+mn-lt"/>
              <a:ea typeface="+mn-ea"/>
              <a:cs typeface="+mn-cs"/>
            </a:rPr>
            <a:t>July 4.4%, June 9.5%, January 13% three payroll months 11% others 7.3.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Bonus - paid in December, usually.</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LB - Make a new sheet to the right of the Approved Budget.  </a:t>
          </a:r>
        </a:p>
        <a:p>
          <a:r>
            <a:rPr lang="en-US" sz="1100" baseline="0">
              <a:solidFill>
                <a:schemeClr val="dk1"/>
              </a:solidFill>
              <a:effectLst/>
              <a:latin typeface="+mn-lt"/>
              <a:ea typeface="+mn-ea"/>
              <a:cs typeface="+mn-cs"/>
            </a:rPr>
            <a:t>Hide all other than the approved budget.</a:t>
          </a:r>
        </a:p>
        <a:p>
          <a:r>
            <a:rPr lang="en-US" sz="1100" baseline="0">
              <a:solidFill>
                <a:schemeClr val="dk1"/>
              </a:solidFill>
              <a:effectLst/>
              <a:latin typeface="+mn-lt"/>
              <a:ea typeface="+mn-ea"/>
              <a:cs typeface="+mn-cs"/>
            </a:rPr>
            <a:t>Enter columns to the right for July - June, with a check figure.</a:t>
          </a:r>
        </a:p>
        <a:p>
          <a:r>
            <a:rPr lang="en-US" sz="1100" baseline="0">
              <a:solidFill>
                <a:schemeClr val="dk1"/>
              </a:solidFill>
              <a:effectLst/>
              <a:latin typeface="+mn-lt"/>
              <a:ea typeface="+mn-ea"/>
              <a:cs typeface="+mn-cs"/>
            </a:rPr>
            <a:t>The top June is =Round(approved budget figure- tie down the column with $/12,0)</a:t>
          </a:r>
        </a:p>
        <a:p>
          <a:r>
            <a:rPr lang="en-US" sz="1100" baseline="0">
              <a:solidFill>
                <a:schemeClr val="dk1"/>
              </a:solidFill>
              <a:effectLst/>
              <a:latin typeface="+mn-lt"/>
              <a:ea typeface="+mn-ea"/>
              <a:cs typeface="+mn-cs"/>
            </a:rPr>
            <a:t>Copy this all the way down.  </a:t>
          </a:r>
        </a:p>
        <a:p>
          <a:r>
            <a:rPr lang="en-US" sz="1100">
              <a:solidFill>
                <a:schemeClr val="dk1"/>
              </a:solidFill>
              <a:effectLst/>
              <a:latin typeface="+mn-lt"/>
              <a:ea typeface="+mn-ea"/>
              <a:cs typeface="+mn-cs"/>
            </a:rPr>
            <a:t>Copy the column of formulas all the way over to May.</a:t>
          </a:r>
        </a:p>
        <a:p>
          <a:r>
            <a:rPr lang="en-US" sz="1100">
              <a:solidFill>
                <a:schemeClr val="dk1"/>
              </a:solidFill>
              <a:effectLst/>
              <a:latin typeface="+mn-lt"/>
              <a:ea typeface="+mn-ea"/>
              <a:cs typeface="+mn-cs"/>
            </a:rPr>
            <a:t>June equals approved budget minus</a:t>
          </a:r>
          <a:r>
            <a:rPr lang="en-US" sz="1100" baseline="0">
              <a:solidFill>
                <a:schemeClr val="dk1"/>
              </a:solidFill>
              <a:effectLst/>
              <a:latin typeface="+mn-lt"/>
              <a:ea typeface="+mn-ea"/>
              <a:cs typeface="+mn-cs"/>
            </a:rPr>
            <a:t> July through May.</a:t>
          </a:r>
        </a:p>
        <a:p>
          <a:r>
            <a:rPr lang="en-US" sz="1100" baseline="0">
              <a:solidFill>
                <a:schemeClr val="dk1"/>
              </a:solidFill>
              <a:effectLst/>
              <a:latin typeface="+mn-lt"/>
              <a:ea typeface="+mn-ea"/>
              <a:cs typeface="+mn-cs"/>
            </a:rPr>
            <a:t>The check figure is autosum(july-june) less approved.  It shoudl be zero.</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Copy the figures and format for the Net income row a couple of rows lower.</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Delete all of the totals and subtotal of the NEW DATA ONLY - not the approved budget.</a:t>
          </a:r>
        </a:p>
        <a:p>
          <a:endParaRPr lang="en-US" sz="1100">
            <a:solidFill>
              <a:schemeClr val="dk1"/>
            </a:solidFill>
            <a:effectLst/>
            <a:latin typeface="+mn-lt"/>
            <a:ea typeface="+mn-ea"/>
            <a:cs typeface="+mn-cs"/>
          </a:endParaRPr>
        </a:p>
        <a:p>
          <a:endParaRPr 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438150</xdr:colOff>
      <xdr:row>0</xdr:row>
      <xdr:rowOff>180972</xdr:rowOff>
    </xdr:from>
    <xdr:to>
      <xdr:col>8</xdr:col>
      <xdr:colOff>533400</xdr:colOff>
      <xdr:row>164</xdr:row>
      <xdr:rowOff>133350</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438150" y="180972"/>
          <a:ext cx="4972050" cy="3119437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Beginning in 18-19,</a:t>
          </a:r>
          <a:r>
            <a:rPr lang="en-US" sz="1100" baseline="0">
              <a:solidFill>
                <a:schemeClr val="dk1"/>
              </a:solidFill>
              <a:effectLst/>
              <a:latin typeface="+mn-lt"/>
              <a:ea typeface="+mn-ea"/>
              <a:cs typeface="+mn-cs"/>
            </a:rPr>
            <a:t> the GM had taken over the process to determine the Proposed Budget figures.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First Budget Meeting - April</a:t>
          </a:r>
          <a:r>
            <a:rPr lang="en-US" sz="1100" baseline="0">
              <a:solidFill>
                <a:schemeClr val="dk1"/>
              </a:solidFill>
              <a:effectLst/>
              <a:latin typeface="+mn-lt"/>
              <a:ea typeface="+mn-ea"/>
              <a:cs typeface="+mn-cs"/>
            </a:rPr>
            <a:t> 19</a:t>
          </a:r>
          <a:r>
            <a:rPr lang="en-US" sz="1100">
              <a:solidFill>
                <a:schemeClr val="dk1"/>
              </a:solidFill>
              <a:effectLst/>
              <a:latin typeface="+mn-lt"/>
              <a:ea typeface="+mn-ea"/>
              <a:cs typeface="+mn-cs"/>
            </a:rPr>
            <a:t>, 2021</a:t>
          </a:r>
          <a:r>
            <a:rPr lang="en-US" sz="1100" baseline="0">
              <a:solidFill>
                <a:schemeClr val="dk1"/>
              </a:solidFill>
              <a:effectLst/>
              <a:latin typeface="+mn-lt"/>
              <a:ea typeface="+mn-ea"/>
              <a:cs typeface="+mn-cs"/>
            </a:rPr>
            <a:t>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In the Budget Document - Print the approved budget.  Print the last working document with the new names and notes.  Delete all of the sheets other than the Wage and Benefit modeling, the Notes, QB Budget Input Notes.</a:t>
          </a:r>
          <a:endParaRPr lang="en-US">
            <a:effectLst/>
          </a:endParaRPr>
        </a:p>
        <a:p>
          <a:endParaRPr lang="en-US">
            <a:effectLst/>
          </a:endParaRPr>
        </a:p>
        <a:p>
          <a:r>
            <a:rPr lang="en-US" sz="1100" baseline="0">
              <a:solidFill>
                <a:schemeClr val="dk1"/>
              </a:solidFill>
              <a:effectLst/>
              <a:latin typeface="+mn-lt"/>
              <a:ea typeface="+mn-ea"/>
              <a:cs typeface="+mn-cs"/>
            </a:rPr>
            <a:t>Run the Profit and Loss for the thirteen month period ending with the month just ended.  Set Columns to Month.  Export to Excel.  Copy into the Budget document.</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Rename the sheet as Downloaded.  Copy the spreadsheet and name 'Working Copy xxxxxx where xxxxxx is the current dates.</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Cut and past the April - June columns from the far left to the left of the current April column.  Change the headings on the March -June and the Total to say Est. at the beginning.  Change the alignment on the heading row to wrap text.  Delete the data in the current April column and hide it.  and verify the total column as the right formula.</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Copy the Est June column and paste it to the right.  Use the column as this will allow the subtotals and total to be correct.  This will be the Approved Budget FYE 06/30/xx (the current year).</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Run the P&amp;L Budget Overview for the current year.  Change the dates to This Current Year an the Columns to Total Only.</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Either: Print the document.  Use this to enter the actual figures into the Approved Budget column.  Do not overlay the subtotals and totals. OR- Export to excel.  Copy the columns to the right of the working document and then copy and paste.  Verify the totals match.  OR - Copy the approved budget figures to the right of the spreadsheet.  You can mostly copy and paste in to the body of the table.  Some you must insert rows.  Double check totals!</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Copy the Approved Budget column to the column to the right.  This will be the Proposed Budget FYE 06/30/xx (the upcoming fiscal year).  Highlight each of the figures in this column so you can tell what has not yet been considered.    Unhighlight subtotal and blanks.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Make a column to the right - Noes on the Figures.  Put '*Currently shows prior approved budget' on all rows other than the subtotal, total and blank rows. </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Also - change the color of the Font on everything below this paragraph on this spreadsheet so you know what has not been considered.  The highlighting does not work for part of a text box.</a:t>
          </a:r>
          <a:endParaRPr lang="en-US">
            <a:effectLst/>
          </a:endParaRP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The Net income, without regard to the capital assets, should be zero.  The Contribution to Other Fund - Endowment - should equal the Endowment Income and the enterest on the Endowment Fund.  The Contribution to Other Fund - General, is the plug to make it so.</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*Set up on the Excel.  For dividend and interest estimates, use the most recent actual- generally March.</a:t>
          </a:r>
          <a:endParaRPr lang="en-US">
            <a:effectLst/>
          </a:endParaRPr>
        </a:p>
        <a:p>
          <a:r>
            <a:rPr lang="en-US" sz="1100" baseline="0">
              <a:solidFill>
                <a:schemeClr val="dk1"/>
              </a:solidFill>
              <a:effectLst/>
              <a:latin typeface="+mn-lt"/>
              <a:ea typeface="+mn-ea"/>
              <a:cs typeface="+mn-cs"/>
            </a:rPr>
            <a:t>For Payroll estimates - use the most recent actuals, taking in to consideration which month has three paydates and also adding in one more payday in June for the estimated accrual.</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Update the payroll taxes, 457 for the same.</a:t>
          </a:r>
        </a:p>
        <a:p>
          <a:endParaRPr lang="en-US" sz="1100" baseline="0">
            <a:solidFill>
              <a:schemeClr val="dk1"/>
            </a:solidFill>
            <a:effectLst/>
            <a:latin typeface="+mn-lt"/>
            <a:ea typeface="+mn-ea"/>
            <a:cs typeface="+mn-cs"/>
          </a:endParaRPr>
        </a:p>
        <a:p>
          <a:r>
            <a:rPr lang="en-US" sz="1100" baseline="0">
              <a:solidFill>
                <a:schemeClr val="dk1"/>
              </a:solidFill>
              <a:effectLst/>
              <a:latin typeface="+mn-lt"/>
              <a:ea typeface="+mn-ea"/>
              <a:cs typeface="+mn-cs"/>
            </a:rPr>
            <a:t>Health Insurance - June is usually zero as we prepay.  July is double the regular amount.</a:t>
          </a:r>
          <a:endParaRPr lang="en-US">
            <a:effectLst/>
          </a:endParaRPr>
        </a:p>
        <a:p>
          <a:endParaRPr lang="en-US" sz="1100" baseline="0">
            <a:solidFill>
              <a:schemeClr val="dk1"/>
            </a:solidFill>
            <a:effectLst/>
            <a:latin typeface="+mn-lt"/>
            <a:ea typeface="+mn-ea"/>
            <a:cs typeface="+mn-cs"/>
          </a:endParaRPr>
        </a:p>
        <a:p>
          <a:endParaRPr lang="en-US" sz="1100" baseline="0">
            <a:solidFill>
              <a:schemeClr val="dk1"/>
            </a:solidFill>
            <a:effectLst/>
            <a:latin typeface="+mn-lt"/>
            <a:ea typeface="+mn-ea"/>
            <a:cs typeface="+mn-cs"/>
          </a:endParaRPr>
        </a:p>
        <a:p>
          <a:r>
            <a:rPr lang="en-US" sz="1100" baseline="0">
              <a:solidFill>
                <a:schemeClr val="accent1">
                  <a:lumMod val="75000"/>
                </a:schemeClr>
              </a:solidFill>
              <a:effectLst/>
              <a:latin typeface="+mn-lt"/>
              <a:ea typeface="+mn-ea"/>
              <a:cs typeface="+mn-cs"/>
            </a:rPr>
            <a:t>Enter Estimated figures for April - June.  </a:t>
          </a:r>
        </a:p>
        <a:p>
          <a:pPr marL="0" marR="0" indent="0" defTabSz="914400" eaLnBrk="1" fontAlgn="auto" latinLnBrk="0" hangingPunct="1">
            <a:lnSpc>
              <a:spcPct val="100000"/>
            </a:lnSpc>
            <a:spcBef>
              <a:spcPts val="0"/>
            </a:spcBef>
            <a:spcAft>
              <a:spcPts val="0"/>
            </a:spcAft>
            <a:buClrTx/>
            <a:buSzTx/>
            <a:buFontTx/>
            <a:buNone/>
            <a:tabLst/>
            <a:defRPr/>
          </a:pPr>
          <a:r>
            <a:rPr lang="en-US" sz="1100">
              <a:solidFill>
                <a:schemeClr val="accent1">
                  <a:lumMod val="75000"/>
                </a:schemeClr>
              </a:solidFill>
              <a:effectLst/>
              <a:latin typeface="+mn-lt"/>
              <a:ea typeface="+mn-ea"/>
              <a:cs typeface="+mn-cs"/>
            </a:rPr>
            <a:t>Start here for JUNE</a:t>
          </a:r>
          <a:r>
            <a:rPr lang="en-US" sz="1100" baseline="0">
              <a:solidFill>
                <a:schemeClr val="accent1">
                  <a:lumMod val="75000"/>
                </a:schemeClr>
              </a:solidFill>
              <a:effectLst/>
              <a:latin typeface="+mn-lt"/>
              <a:ea typeface="+mn-ea"/>
              <a:cs typeface="+mn-cs"/>
            </a:rPr>
            <a:t> 2018</a:t>
          </a: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accent1">
                  <a:lumMod val="75000"/>
                </a:schemeClr>
              </a:solidFill>
              <a:effectLst/>
              <a:latin typeface="+mn-lt"/>
              <a:ea typeface="+mn-ea"/>
              <a:cs typeface="+mn-cs"/>
            </a:rPr>
            <a:t>* for 18-19 - The GM updated the proposed budget.  These are the notes from the 17-18 year.</a:t>
          </a:r>
        </a:p>
        <a:p>
          <a:pPr marL="0" marR="0" indent="0" defTabSz="914400" eaLnBrk="1" fontAlgn="auto" latinLnBrk="0" hangingPunct="1">
            <a:lnSpc>
              <a:spcPct val="100000"/>
            </a:lnSpc>
            <a:spcBef>
              <a:spcPts val="0"/>
            </a:spcBef>
            <a:spcAft>
              <a:spcPts val="0"/>
            </a:spcAft>
            <a:buClrTx/>
            <a:buSzTx/>
            <a:buFontTx/>
            <a:buNone/>
            <a:tabLst/>
            <a:defRPr/>
          </a:pPr>
          <a:endParaRPr lang="en-US" sz="1100" baseline="0">
            <a:solidFill>
              <a:schemeClr val="accent1">
                <a:lumMod val="75000"/>
              </a:schemeClr>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aseline="0">
              <a:solidFill>
                <a:schemeClr val="accent1">
                  <a:lumMod val="75000"/>
                </a:schemeClr>
              </a:solidFill>
              <a:effectLst/>
              <a:latin typeface="+mn-lt"/>
              <a:ea typeface="+mn-ea"/>
              <a:cs typeface="+mn-cs"/>
            </a:rPr>
            <a:t>Review increases in wages and salaries.  Incorporate that on to the Wage &amp; Benefit Modeling tab.  Update the proposed bonus figures.</a:t>
          </a:r>
          <a:endParaRPr lang="en-US">
            <a:solidFill>
              <a:schemeClr val="accent1">
                <a:lumMod val="75000"/>
              </a:schemeClr>
            </a:solidFill>
            <a:effectLst/>
          </a:endParaRP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*at the end of the fiscal year, call vendors and request invoices that relate to June and prior.</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The Administrative Assistant is at a higher hourly rate than originally understood.  We will increase wages for that.</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We have received updated Workers' Compensation and Liability figures.</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We have increased the total Property Tax revenue to 599K.  We are currently at about $619k, and will lose about $15k due to the reallignment.  </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Increase the Auto allowance to $100 per pay period per comment by DQ.</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Increase cellular.</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Increase Answering service to 12x high month.  The lines at the District are not appropriate enough to get rid of the service.</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Office Supplies- Increase to allow for moving office in which to meet families.</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We will remove the Irrigation Supplies as we categorize those to Mainenance Grounds.</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**The items below are from the previous year and should be used as a guide.</a:t>
          </a:r>
        </a:p>
        <a:p>
          <a:endParaRPr lang="en-US">
            <a:solidFill>
              <a:schemeClr val="accent1">
                <a:lumMod val="75000"/>
              </a:schemeClr>
            </a:solidFill>
            <a:effectLst/>
          </a:endParaRPr>
        </a:p>
        <a:p>
          <a:r>
            <a:rPr lang="en-US" sz="1100" baseline="0">
              <a:solidFill>
                <a:schemeClr val="accent1">
                  <a:lumMod val="75000"/>
                </a:schemeClr>
              </a:solidFill>
              <a:effectLst/>
              <a:latin typeface="+mn-lt"/>
              <a:ea typeface="+mn-ea"/>
              <a:cs typeface="+mn-cs"/>
            </a:rPr>
            <a:t>Copy the Wage Modeling sheet from the prior year.  Update for current employees.</a:t>
          </a:r>
          <a:endParaRPr lang="en-US">
            <a:solidFill>
              <a:schemeClr val="accent1">
                <a:lumMod val="75000"/>
              </a:schemeClr>
            </a:solidFill>
            <a:effectLst/>
          </a:endParaRPr>
        </a:p>
        <a:p>
          <a:r>
            <a:rPr lang="en-US" sz="1100" baseline="0">
              <a:solidFill>
                <a:schemeClr val="accent1">
                  <a:lumMod val="75000"/>
                </a:schemeClr>
              </a:solidFill>
              <a:effectLst/>
              <a:latin typeface="+mn-lt"/>
              <a:ea typeface="+mn-ea"/>
              <a:cs typeface="+mn-cs"/>
            </a:rPr>
            <a:t>Before the Proposed Budget goes to the Board, we will update the April Estimated figures to Actuals and  validate that the Proposed Budget makes sense.</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For wages - budget current actual plus actual current payroll times the number of payrolls remaining.  Remember that you will accrue the last payroll or a portion thereof.  We modeled taking each employee full-time which requires benefits.</a:t>
          </a:r>
        </a:p>
        <a:p>
          <a:endParaRPr lang="en-US">
            <a:solidFill>
              <a:schemeClr val="accent1">
                <a:lumMod val="75000"/>
              </a:schemeClr>
            </a:solidFill>
            <a:effectLst/>
          </a:endParaRPr>
        </a:p>
        <a:p>
          <a:r>
            <a:rPr lang="en-US" sz="1100" baseline="0">
              <a:solidFill>
                <a:schemeClr val="accent1">
                  <a:lumMod val="75000"/>
                </a:schemeClr>
              </a:solidFill>
              <a:effectLst/>
              <a:latin typeface="+mn-lt"/>
              <a:ea typeface="+mn-ea"/>
              <a:cs typeface="+mn-cs"/>
            </a:rPr>
            <a:t>For taxes - We anticipate $670k this year.   WIth LAFCO adjustment (boundaries) we are unsure of the impact to taxes.   We will leave the budget at the current year budget of $575k.</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For the Interest - the county generally pays interest once a quarter in the month following the end of the quarter.  The July receipts relates back to June, so enter these in the June estimated column.</a:t>
          </a:r>
        </a:p>
        <a:p>
          <a:br>
            <a:rPr lang="en-US" sz="1100" baseline="0">
              <a:solidFill>
                <a:schemeClr val="accent1">
                  <a:lumMod val="75000"/>
                </a:schemeClr>
              </a:solidFill>
              <a:effectLst/>
              <a:latin typeface="+mn-lt"/>
              <a:ea typeface="+mn-ea"/>
              <a:cs typeface="+mn-cs"/>
            </a:rPr>
          </a:br>
          <a:r>
            <a:rPr lang="en-US" sz="1100" baseline="0">
              <a:solidFill>
                <a:schemeClr val="accent1">
                  <a:lumMod val="75000"/>
                </a:schemeClr>
              </a:solidFill>
              <a:effectLst/>
              <a:latin typeface="+mn-lt"/>
              <a:ea typeface="+mn-ea"/>
              <a:cs typeface="+mn-cs"/>
            </a:rPr>
            <a:t>The WFA interest is received throughout the year.</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We will budget a bit closer to the actual figures for FYE 06/30/17.</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The Service Income actual is close to the budget.  We will leave he Budget figures.</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Auto allowance is 100 each pay period.</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The 457 Pension Contributions are  found on the Wage &amp; Benefit modeling tab.</a:t>
          </a:r>
        </a:p>
        <a:p>
          <a:endParaRPr lang="en-US" sz="1100" baseline="0">
            <a:solidFill>
              <a:schemeClr val="accent1">
                <a:lumMod val="75000"/>
              </a:schemeClr>
            </a:solidFill>
            <a:effectLst/>
            <a:latin typeface="+mn-lt"/>
            <a:ea typeface="+mn-ea"/>
            <a:cs typeface="+mn-cs"/>
          </a:endParaRPr>
        </a:p>
        <a:p>
          <a:r>
            <a:rPr lang="en-US" sz="1100" baseline="0">
              <a:solidFill>
                <a:schemeClr val="accent1">
                  <a:lumMod val="75000"/>
                </a:schemeClr>
              </a:solidFill>
              <a:effectLst/>
              <a:latin typeface="+mn-lt"/>
              <a:ea typeface="+mn-ea"/>
              <a:cs typeface="+mn-cs"/>
            </a:rPr>
            <a:t>Social security and medicare are flat rates based on Salaries plus Board Stipend.</a:t>
          </a:r>
        </a:p>
        <a:p>
          <a:endParaRPr lang="en-US">
            <a:solidFill>
              <a:schemeClr val="accent1">
                <a:lumMod val="75000"/>
              </a:schemeClr>
            </a:solidFill>
            <a:effectLst/>
          </a:endParaRPr>
        </a:p>
        <a:p>
          <a:r>
            <a:rPr lang="en-US" sz="1100" baseline="0">
              <a:solidFill>
                <a:schemeClr val="accent1">
                  <a:lumMod val="75000"/>
                </a:schemeClr>
              </a:solidFill>
              <a:effectLst/>
              <a:latin typeface="+mn-lt"/>
              <a:ea typeface="+mn-ea"/>
              <a:cs typeface="+mn-cs"/>
            </a:rPr>
            <a:t>For Workers' Comp - the rates are: 9.06 for Directors, .57 for Clerical, and 9.06 for Cemetery Operations.  The GM is part of Cemetery Operations.</a:t>
          </a:r>
          <a:endParaRPr lang="en-US">
            <a:solidFill>
              <a:schemeClr val="accent1">
                <a:lumMod val="75000"/>
              </a:schemeClr>
            </a:solidFill>
            <a:effectLst/>
          </a:endParaRPr>
        </a:p>
        <a:p>
          <a:endParaRPr lang="en-US" sz="1100" baseline="0">
            <a:solidFill>
              <a:schemeClr val="accent1">
                <a:lumMod val="75000"/>
              </a:schemeClr>
            </a:solidFill>
          </a:endParaRPr>
        </a:p>
        <a:p>
          <a:r>
            <a:rPr lang="en-US" sz="1100" baseline="0">
              <a:solidFill>
                <a:schemeClr val="accent1">
                  <a:lumMod val="75000"/>
                </a:schemeClr>
              </a:solidFill>
            </a:rPr>
            <a:t>We increased $35k for conferences.</a:t>
          </a:r>
        </a:p>
        <a:p>
          <a:endParaRPr lang="en-US" sz="1100" baseline="0">
            <a:solidFill>
              <a:schemeClr val="accent1">
                <a:lumMod val="75000"/>
              </a:schemeClr>
            </a:solidFill>
          </a:endParaRPr>
        </a:p>
        <a:p>
          <a:r>
            <a:rPr lang="en-US" sz="1100" baseline="0">
              <a:solidFill>
                <a:schemeClr val="accent1">
                  <a:lumMod val="75000"/>
                </a:schemeClr>
              </a:solidFill>
            </a:rPr>
            <a:t>We separated out the Paychex HR cost from Legal.</a:t>
          </a:r>
        </a:p>
        <a:p>
          <a:endParaRPr lang="en-US" sz="1100" baseline="0">
            <a:solidFill>
              <a:schemeClr val="accent1">
                <a:lumMod val="75000"/>
              </a:schemeClr>
            </a:solidFill>
          </a:endParaRPr>
        </a:p>
        <a:p>
          <a:r>
            <a:rPr lang="en-US" sz="1100" baseline="0">
              <a:solidFill>
                <a:schemeClr val="accent1">
                  <a:lumMod val="75000"/>
                </a:schemeClr>
              </a:solidFill>
            </a:rPr>
            <a:t>Board Stipend increased to include three conferences, two local area meetings, Memorial Day, twelve regular meetings and one annual meeting.  Five members times $100 per meeting.</a:t>
          </a:r>
        </a:p>
        <a:p>
          <a:endParaRPr lang="en-US" sz="1100">
            <a:solidFill>
              <a:schemeClr val="accent1">
                <a:lumMod val="75000"/>
              </a:schemeClr>
            </a:solidFill>
          </a:endParaRPr>
        </a:p>
        <a:p>
          <a:r>
            <a:rPr lang="en-US" sz="1100">
              <a:solidFill>
                <a:schemeClr val="accent1">
                  <a:lumMod val="75000"/>
                </a:schemeClr>
              </a:solidFill>
            </a:rPr>
            <a:t>Sale of</a:t>
          </a:r>
          <a:r>
            <a:rPr lang="en-US" sz="1100" baseline="0">
              <a:solidFill>
                <a:schemeClr val="accent1">
                  <a:lumMod val="75000"/>
                </a:schemeClr>
              </a:solidFill>
            </a:rPr>
            <a:t> lots is higher due to increased fees.</a:t>
          </a:r>
        </a:p>
        <a:p>
          <a:endParaRPr lang="en-US" sz="1100" baseline="0">
            <a:solidFill>
              <a:schemeClr val="accent1">
                <a:lumMod val="75000"/>
              </a:schemeClr>
            </a:solidFill>
          </a:endParaRPr>
        </a:p>
        <a:p>
          <a:r>
            <a:rPr lang="en-US" sz="1100" baseline="0">
              <a:solidFill>
                <a:schemeClr val="accent1">
                  <a:lumMod val="75000"/>
                </a:schemeClr>
              </a:solidFill>
            </a:rPr>
            <a:t>Creamations are higher due to increased options for cremation in 2014.</a:t>
          </a:r>
        </a:p>
        <a:p>
          <a:endParaRPr lang="en-US" sz="1100" baseline="0">
            <a:solidFill>
              <a:schemeClr val="accent1">
                <a:lumMod val="75000"/>
              </a:schemeClr>
            </a:solidFill>
          </a:endParaRPr>
        </a:p>
        <a:p>
          <a:r>
            <a:rPr lang="en-US" sz="1100">
              <a:solidFill>
                <a:schemeClr val="accent1">
                  <a:lumMod val="75000"/>
                </a:schemeClr>
              </a:solidFill>
            </a:rPr>
            <a:t>Health insurance is estimated based on the</a:t>
          </a:r>
          <a:r>
            <a:rPr lang="en-US" sz="1100" baseline="0">
              <a:solidFill>
                <a:schemeClr val="accent1">
                  <a:lumMod val="75000"/>
                </a:schemeClr>
              </a:solidFill>
            </a:rPr>
            <a:t> wage modeling schedule.</a:t>
          </a:r>
        </a:p>
        <a:p>
          <a:endParaRPr lang="en-US" sz="1100" baseline="0">
            <a:solidFill>
              <a:schemeClr val="accent1">
                <a:lumMod val="75000"/>
              </a:schemeClr>
            </a:solidFill>
          </a:endParaRPr>
        </a:p>
        <a:p>
          <a:r>
            <a:rPr lang="en-US" sz="1100" baseline="0">
              <a:solidFill>
                <a:schemeClr val="accent1">
                  <a:lumMod val="75000"/>
                </a:schemeClr>
              </a:solidFill>
            </a:rPr>
            <a:t>Photocopies was increased as the local photo shop has gone out of business and we must now use the fedex office which is more expensive.</a:t>
          </a:r>
        </a:p>
        <a:p>
          <a:endParaRPr lang="en-US" sz="1100" baseline="0">
            <a:solidFill>
              <a:schemeClr val="accent1">
                <a:lumMod val="75000"/>
              </a:schemeClr>
            </a:solidFill>
          </a:endParaRPr>
        </a:p>
        <a:p>
          <a:r>
            <a:rPr lang="en-US" sz="1100">
              <a:solidFill>
                <a:schemeClr val="accent1">
                  <a:lumMod val="75000"/>
                </a:schemeClr>
              </a:solidFill>
            </a:rPr>
            <a:t>Staff</a:t>
          </a:r>
          <a:r>
            <a:rPr lang="en-US" sz="1100" baseline="0">
              <a:solidFill>
                <a:schemeClr val="accent1">
                  <a:lumMod val="75000"/>
                </a:schemeClr>
              </a:solidFill>
            </a:rPr>
            <a:t> Training - plan to increase in 2014.   One groundsman will be added to the training schedule and the Administrative person will be sent to more training.</a:t>
          </a:r>
        </a:p>
        <a:p>
          <a:endParaRPr lang="en-US" sz="1100" baseline="0">
            <a:solidFill>
              <a:schemeClr val="accent1">
                <a:lumMod val="75000"/>
              </a:schemeClr>
            </a:solidFill>
          </a:endParaRPr>
        </a:p>
        <a:p>
          <a:r>
            <a:rPr lang="en-US" sz="1100" baseline="0">
              <a:solidFill>
                <a:schemeClr val="accent1">
                  <a:lumMod val="75000"/>
                </a:schemeClr>
              </a:solidFill>
            </a:rPr>
            <a:t>Legal is running about $4k per month, but we only have invoices through October. </a:t>
          </a:r>
        </a:p>
        <a:p>
          <a:endParaRPr lang="en-US" sz="1100" baseline="0">
            <a:solidFill>
              <a:schemeClr val="accent1">
                <a:lumMod val="75000"/>
              </a:schemeClr>
            </a:solidFill>
          </a:endParaRPr>
        </a:p>
        <a:p>
          <a:endParaRPr lang="en-US" sz="1100" baseline="0">
            <a:solidFill>
              <a:schemeClr val="accent1">
                <a:lumMod val="75000"/>
              </a:schemeClr>
            </a:solidFill>
          </a:endParaRPr>
        </a:p>
        <a:p>
          <a:r>
            <a:rPr lang="en-US" sz="1100">
              <a:solidFill>
                <a:schemeClr val="accent1">
                  <a:lumMod val="75000"/>
                </a:schemeClr>
              </a:solidFill>
            </a:rPr>
            <a:t>The budget  has been reduced in Irrigation</a:t>
          </a:r>
          <a:r>
            <a:rPr lang="en-US" sz="1100" baseline="0">
              <a:solidFill>
                <a:schemeClr val="accent1">
                  <a:lumMod val="75000"/>
                </a:schemeClr>
              </a:solidFill>
            </a:rPr>
            <a:t> and increased in Maintenance Grounds becuase many of the smaller irrigation supplies are not broken out on vendor invoices and end up being coded  as maintenance grounds.</a:t>
          </a:r>
        </a:p>
        <a:p>
          <a:endParaRPr lang="en-US" sz="1100" baseline="0">
            <a:solidFill>
              <a:schemeClr val="accent1">
                <a:lumMod val="75000"/>
              </a:schemeClr>
            </a:solidFill>
          </a:endParaRPr>
        </a:p>
        <a:p>
          <a:r>
            <a:rPr lang="en-US" sz="1100" baseline="0">
              <a:solidFill>
                <a:schemeClr val="accent1">
                  <a:lumMod val="75000"/>
                </a:schemeClr>
              </a:solidFill>
            </a:rPr>
            <a:t>Equipment - we never know when the equipment will go out and need budget room to repair or purchase new as required.</a:t>
          </a:r>
        </a:p>
        <a:p>
          <a:endParaRPr lang="en-US" sz="1100" baseline="0">
            <a:solidFill>
              <a:schemeClr val="accent1">
                <a:lumMod val="75000"/>
              </a:schemeClr>
            </a:solidFill>
          </a:endParaRPr>
        </a:p>
        <a:p>
          <a:r>
            <a:rPr lang="en-US" sz="1100">
              <a:solidFill>
                <a:schemeClr val="accent1">
                  <a:lumMod val="75000"/>
                </a:schemeClr>
              </a:solidFill>
            </a:rPr>
            <a:t>Interest income.  We took money out of the general</a:t>
          </a:r>
          <a:r>
            <a:rPr lang="en-US" sz="1100" baseline="0">
              <a:solidFill>
                <a:schemeClr val="accent1">
                  <a:lumMod val="75000"/>
                </a:schemeClr>
              </a:solidFill>
            </a:rPr>
            <a:t> fund at the county so we anticipate a slight decrease in interest.  We put money into the ACO, but will use about $350k for Capital outlay. </a:t>
          </a:r>
        </a:p>
        <a:p>
          <a:endParaRPr lang="en-US" sz="1100" baseline="0">
            <a:solidFill>
              <a:schemeClr val="accent1">
                <a:lumMod val="75000"/>
              </a:schemeClr>
            </a:solidFill>
          </a:endParaRPr>
        </a:p>
        <a:p>
          <a:r>
            <a:rPr lang="en-US" sz="1100" baseline="0">
              <a:solidFill>
                <a:schemeClr val="accent1">
                  <a:lumMod val="75000"/>
                </a:schemeClr>
              </a:solidFill>
            </a:rPr>
            <a:t>For Improvements - Building- we have $25k for the retaining wall, block and fence/wall, and $5k for painting.</a:t>
          </a:r>
        </a:p>
        <a:p>
          <a:endParaRPr lang="en-US" sz="1100" baseline="0">
            <a:solidFill>
              <a:schemeClr val="accent1">
                <a:lumMod val="75000"/>
              </a:schemeClr>
            </a:solidFill>
          </a:endParaRPr>
        </a:p>
        <a:p>
          <a:r>
            <a:rPr lang="en-US" sz="1100" baseline="0">
              <a:solidFill>
                <a:schemeClr val="accent1">
                  <a:lumMod val="75000"/>
                </a:schemeClr>
              </a:solidFill>
            </a:rPr>
            <a:t>For Mapping Software - Cemsites, $25000.</a:t>
          </a:r>
        </a:p>
        <a:p>
          <a:endParaRPr lang="en-US" sz="1100" baseline="0">
            <a:solidFill>
              <a:schemeClr val="accent1">
                <a:lumMod val="75000"/>
              </a:schemeClr>
            </a:solidFill>
          </a:endParaRPr>
        </a:p>
        <a:p>
          <a:r>
            <a:rPr lang="en-US" sz="1100" baseline="0">
              <a:solidFill>
                <a:schemeClr val="accent1">
                  <a:lumMod val="75000"/>
                </a:schemeClr>
              </a:solidFill>
            </a:rPr>
            <a:t>June 6, 2016 -</a:t>
          </a:r>
        </a:p>
        <a:p>
          <a:r>
            <a:rPr lang="en-US" sz="1100" baseline="0">
              <a:solidFill>
                <a:schemeClr val="accent1">
                  <a:lumMod val="75000"/>
                </a:schemeClr>
              </a:solidFill>
            </a:rPr>
            <a:t>Increased Extermination by $300 to cover Wildlife Control Services updated fees.  Reduced Inventory to offset.</a:t>
          </a:r>
        </a:p>
        <a:p>
          <a:endParaRPr lang="en-US" sz="1100" baseline="0">
            <a:solidFill>
              <a:schemeClr val="accent1">
                <a:lumMod val="75000"/>
              </a:schemeClr>
            </a:solidFill>
          </a:endParaRPr>
        </a:p>
        <a:p>
          <a:r>
            <a:rPr lang="en-US" sz="1100" baseline="0">
              <a:solidFill>
                <a:schemeClr val="accent1">
                  <a:lumMod val="75000"/>
                </a:schemeClr>
              </a:solidFill>
            </a:rPr>
            <a:t>Increased wages to cover increase for staff.  Increased private mileage, decreased mapping software as offsetc</a:t>
          </a:r>
        </a:p>
        <a:p>
          <a:endParaRPr lang="en-US" sz="1100" baseline="0">
            <a:solidFill>
              <a:schemeClr val="accent1">
                <a:lumMod val="75000"/>
              </a:schemeClr>
            </a:solidFill>
          </a:endParaRPr>
        </a:p>
        <a:p>
          <a:r>
            <a:rPr lang="en-US" sz="1100" baseline="0">
              <a:solidFill>
                <a:schemeClr val="accent1">
                  <a:lumMod val="75000"/>
                </a:schemeClr>
              </a:solidFill>
            </a:rPr>
            <a:t>July 13 , 2016  Due to the final salary recommendations by the board:</a:t>
          </a:r>
        </a:p>
        <a:p>
          <a:r>
            <a:rPr lang="en-US" sz="1100" baseline="0">
              <a:solidFill>
                <a:schemeClr val="accent1">
                  <a:lumMod val="75000"/>
                </a:schemeClr>
              </a:solidFill>
            </a:rPr>
            <a:t>Increased Salaries by $5k.  Increased Auto Allowance by $700.  Increased 457 by $100.  Decreased Maintenance/Grounds by $3k.  Decreased Conferences by $3k.  Decreased Legal by the remainder.</a:t>
          </a:r>
        </a:p>
        <a:p>
          <a:endParaRPr lang="en-US" sz="1100" baseline="0">
            <a:solidFill>
              <a:schemeClr val="accent1">
                <a:lumMod val="75000"/>
              </a:schemeClr>
            </a:solidFill>
          </a:endParaRPr>
        </a:p>
        <a:p>
          <a:r>
            <a:rPr lang="en-US" sz="1100" baseline="0">
              <a:solidFill>
                <a:schemeClr val="accent1">
                  <a:lumMod val="75000"/>
                </a:schemeClr>
              </a:solidFill>
            </a:rPr>
            <a:t>June 1</a:t>
          </a:r>
        </a:p>
        <a:p>
          <a:endParaRPr lang="en-US" sz="1100" baseline="0">
            <a:solidFill>
              <a:schemeClr val="accent1">
                <a:lumMod val="75000"/>
              </a:schemeClr>
            </a:solidFill>
          </a:endParaRPr>
        </a:p>
        <a:p>
          <a:endParaRPr lang="en-US" sz="1100" baseline="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59745" name="FILTER" hidden="1">
              <a:extLst>
                <a:ext uri="{63B3BB69-23CF-44E3-9099-C40C66FF867C}">
                  <a14:compatExt spid="_x0000_s159745"/>
                </a:ext>
                <a:ext uri="{FF2B5EF4-FFF2-40B4-BE49-F238E27FC236}">
                  <a16:creationId xmlns:a16="http://schemas.microsoft.com/office/drawing/2014/main" id="{00000000-0008-0000-0100-00000170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59746" name="HEADER" hidden="1">
              <a:extLst>
                <a:ext uri="{63B3BB69-23CF-44E3-9099-C40C66FF867C}">
                  <a14:compatExt spid="_x0000_s159746"/>
                </a:ext>
                <a:ext uri="{FF2B5EF4-FFF2-40B4-BE49-F238E27FC236}">
                  <a16:creationId xmlns:a16="http://schemas.microsoft.com/office/drawing/2014/main" id="{00000000-0008-0000-0100-00000270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42337" name="FILTER" hidden="1">
              <a:extLst>
                <a:ext uri="{63B3BB69-23CF-44E3-9099-C40C66FF867C}">
                  <a14:compatExt spid="_x0000_s142337"/>
                </a:ext>
                <a:ext uri="{FF2B5EF4-FFF2-40B4-BE49-F238E27FC236}">
                  <a16:creationId xmlns:a16="http://schemas.microsoft.com/office/drawing/2014/main" id="{00000000-0008-0000-0200-0000012C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42338" name="HEADER" hidden="1">
              <a:extLst>
                <a:ext uri="{63B3BB69-23CF-44E3-9099-C40C66FF867C}">
                  <a14:compatExt spid="_x0000_s142338"/>
                </a:ext>
                <a:ext uri="{FF2B5EF4-FFF2-40B4-BE49-F238E27FC236}">
                  <a16:creationId xmlns:a16="http://schemas.microsoft.com/office/drawing/2014/main" id="{00000000-0008-0000-0200-0000022C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38241" name="FILTER" hidden="1">
              <a:extLst>
                <a:ext uri="{63B3BB69-23CF-44E3-9099-C40C66FF867C}">
                  <a14:compatExt spid="_x0000_s138241"/>
                </a:ext>
                <a:ext uri="{FF2B5EF4-FFF2-40B4-BE49-F238E27FC236}">
                  <a16:creationId xmlns:a16="http://schemas.microsoft.com/office/drawing/2014/main" id="{00000000-0008-0000-0300-0000011C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38242" name="HEADER" hidden="1">
              <a:extLst>
                <a:ext uri="{63B3BB69-23CF-44E3-9099-C40C66FF867C}">
                  <a14:compatExt spid="_x0000_s138242"/>
                </a:ext>
                <a:ext uri="{FF2B5EF4-FFF2-40B4-BE49-F238E27FC236}">
                  <a16:creationId xmlns:a16="http://schemas.microsoft.com/office/drawing/2014/main" id="{00000000-0008-0000-0300-0000021C02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26977" name="FILTER" hidden="1">
              <a:extLst>
                <a:ext uri="{63B3BB69-23CF-44E3-9099-C40C66FF867C}">
                  <a14:compatExt spid="_x0000_s126977"/>
                </a:ext>
                <a:ext uri="{FF2B5EF4-FFF2-40B4-BE49-F238E27FC236}">
                  <a16:creationId xmlns:a16="http://schemas.microsoft.com/office/drawing/2014/main" id="{00000000-0008-0000-0500-000001F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26978" name="HEADER" hidden="1">
              <a:extLst>
                <a:ext uri="{63B3BB69-23CF-44E3-9099-C40C66FF867C}">
                  <a14:compatExt spid="_x0000_s126978"/>
                </a:ext>
                <a:ext uri="{FF2B5EF4-FFF2-40B4-BE49-F238E27FC236}">
                  <a16:creationId xmlns:a16="http://schemas.microsoft.com/office/drawing/2014/main" id="{00000000-0008-0000-0500-000002F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22881" name="FILTER" hidden="1">
              <a:extLst>
                <a:ext uri="{63B3BB69-23CF-44E3-9099-C40C66FF867C}">
                  <a14:compatExt spid="_x0000_s122881"/>
                </a:ext>
                <a:ext uri="{FF2B5EF4-FFF2-40B4-BE49-F238E27FC236}">
                  <a16:creationId xmlns:a16="http://schemas.microsoft.com/office/drawing/2014/main" id="{00000000-0008-0000-0600-000001E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22882" name="HEADER" hidden="1">
              <a:extLst>
                <a:ext uri="{63B3BB69-23CF-44E3-9099-C40C66FF867C}">
                  <a14:compatExt spid="_x0000_s122882"/>
                </a:ext>
                <a:ext uri="{FF2B5EF4-FFF2-40B4-BE49-F238E27FC236}">
                  <a16:creationId xmlns:a16="http://schemas.microsoft.com/office/drawing/2014/main" id="{00000000-0008-0000-0600-000002E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13665" name="FILTER" hidden="1">
              <a:extLst>
                <a:ext uri="{63B3BB69-23CF-44E3-9099-C40C66FF867C}">
                  <a14:compatExt spid="_x0000_s113665"/>
                </a:ext>
                <a:ext uri="{FF2B5EF4-FFF2-40B4-BE49-F238E27FC236}">
                  <a16:creationId xmlns:a16="http://schemas.microsoft.com/office/drawing/2014/main" id="{00000000-0008-0000-0700-000001BC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113666" name="HEADER" hidden="1">
              <a:extLst>
                <a:ext uri="{63B3BB69-23CF-44E3-9099-C40C66FF867C}">
                  <a14:compatExt spid="_x0000_s113666"/>
                </a:ext>
                <a:ext uri="{FF2B5EF4-FFF2-40B4-BE49-F238E27FC236}">
                  <a16:creationId xmlns:a16="http://schemas.microsoft.com/office/drawing/2014/main" id="{00000000-0008-0000-0700-000002BC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92161" name="FILTER" hidden="1">
              <a:extLst>
                <a:ext uri="{63B3BB69-23CF-44E3-9099-C40C66FF867C}">
                  <a14:compatExt spid="_x0000_s92161"/>
                </a:ext>
                <a:ext uri="{FF2B5EF4-FFF2-40B4-BE49-F238E27FC236}">
                  <a16:creationId xmlns:a16="http://schemas.microsoft.com/office/drawing/2014/main" id="{00000000-0008-0000-0800-0000016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0</xdr:row>
          <xdr:rowOff>236220</xdr:rowOff>
        </xdr:to>
        <xdr:sp macro="" textlink="">
          <xdr:nvSpPr>
            <xdr:cNvPr id="92162" name="HEADER" hidden="1">
              <a:extLst>
                <a:ext uri="{63B3BB69-23CF-44E3-9099-C40C66FF867C}">
                  <a14:compatExt spid="_x0000_s92162"/>
                </a:ext>
                <a:ext uri="{FF2B5EF4-FFF2-40B4-BE49-F238E27FC236}">
                  <a16:creationId xmlns:a16="http://schemas.microsoft.com/office/drawing/2014/main" id="{00000000-0008-0000-0800-0000026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1</xdr:row>
          <xdr:rowOff>45720</xdr:rowOff>
        </xdr:to>
        <xdr:sp macro="" textlink="">
          <xdr:nvSpPr>
            <xdr:cNvPr id="91137" name="FILTER" hidden="1">
              <a:extLst>
                <a:ext uri="{63B3BB69-23CF-44E3-9099-C40C66FF867C}">
                  <a14:compatExt spid="_x0000_s91137"/>
                </a:ext>
                <a:ext uri="{FF2B5EF4-FFF2-40B4-BE49-F238E27FC236}">
                  <a16:creationId xmlns:a16="http://schemas.microsoft.com/office/drawing/2014/main" id="{00000000-0008-0000-0900-0000016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4</xdr:col>
          <xdr:colOff>68580</xdr:colOff>
          <xdr:row>1</xdr:row>
          <xdr:rowOff>45720</xdr:rowOff>
        </xdr:to>
        <xdr:sp macro="" textlink="">
          <xdr:nvSpPr>
            <xdr:cNvPr id="91138" name="HEADER" hidden="1">
              <a:extLst>
                <a:ext uri="{63B3BB69-23CF-44E3-9099-C40C66FF867C}">
                  <a14:compatExt spid="_x0000_s91138"/>
                </a:ext>
                <a:ext uri="{FF2B5EF4-FFF2-40B4-BE49-F238E27FC236}">
                  <a16:creationId xmlns:a16="http://schemas.microsoft.com/office/drawing/2014/main" id="{00000000-0008-0000-0900-0000026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image" Target="../media/image18.emf"/><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ntrol" Target="../activeX/activeX18.xml"/><Relationship Id="rId5" Type="http://schemas.openxmlformats.org/officeDocument/2006/relationships/image" Target="../media/image17.emf"/><Relationship Id="rId4" Type="http://schemas.openxmlformats.org/officeDocument/2006/relationships/control" Target="../activeX/activeX1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7" Type="http://schemas.openxmlformats.org/officeDocument/2006/relationships/image" Target="../media/image20.emf"/><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ontrol" Target="../activeX/activeX20.xml"/><Relationship Id="rId5" Type="http://schemas.openxmlformats.org/officeDocument/2006/relationships/image" Target="../media/image19.emf"/><Relationship Id="rId4" Type="http://schemas.openxmlformats.org/officeDocument/2006/relationships/control" Target="../activeX/activeX1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4.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4.xml"/><Relationship Id="rId5" Type="http://schemas.openxmlformats.org/officeDocument/2006/relationships/image" Target="../media/image3.emf"/><Relationship Id="rId4" Type="http://schemas.openxmlformats.org/officeDocument/2006/relationships/control" Target="../activeX/activeX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image" Target="../media/image6.emf"/><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ontrol" Target="../activeX/activeX6.xml"/><Relationship Id="rId5" Type="http://schemas.openxmlformats.org/officeDocument/2006/relationships/image" Target="../media/image5.emf"/><Relationship Id="rId4" Type="http://schemas.openxmlformats.org/officeDocument/2006/relationships/control" Target="../activeX/activeX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image" Target="../media/image8.emf"/><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ontrol" Target="../activeX/activeX8.xml"/><Relationship Id="rId5" Type="http://schemas.openxmlformats.org/officeDocument/2006/relationships/image" Target="../media/image7.emf"/><Relationship Id="rId4" Type="http://schemas.openxmlformats.org/officeDocument/2006/relationships/control" Target="../activeX/activeX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10.emf"/><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ntrol" Target="../activeX/activeX10.xml"/><Relationship Id="rId5" Type="http://schemas.openxmlformats.org/officeDocument/2006/relationships/image" Target="../media/image9.emf"/><Relationship Id="rId4" Type="http://schemas.openxmlformats.org/officeDocument/2006/relationships/control" Target="../activeX/activeX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image" Target="../media/image12.emf"/><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ontrol" Target="../activeX/activeX12.xml"/><Relationship Id="rId5" Type="http://schemas.openxmlformats.org/officeDocument/2006/relationships/image" Target="../media/image11.emf"/><Relationship Id="rId4" Type="http://schemas.openxmlformats.org/officeDocument/2006/relationships/control" Target="../activeX/activeX1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image" Target="../media/image14.emf"/><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ontrol" Target="../activeX/activeX14.xml"/><Relationship Id="rId5" Type="http://schemas.openxmlformats.org/officeDocument/2006/relationships/image" Target="../media/image13.emf"/><Relationship Id="rId4" Type="http://schemas.openxmlformats.org/officeDocument/2006/relationships/control" Target="../activeX/activeX1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image" Target="../media/image16.emf"/><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ontrol" Target="../activeX/activeX16.xml"/><Relationship Id="rId5" Type="http://schemas.openxmlformats.org/officeDocument/2006/relationships/image" Target="../media/image15.emf"/><Relationship Id="rId4" Type="http://schemas.openxmlformats.org/officeDocument/2006/relationships/control" Target="../activeX/activeX1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8F23C-7024-429F-B21F-59192536D90E}">
  <sheetPr codeName="Sheet8"/>
  <dimension ref="A1:BD188"/>
  <sheetViews>
    <sheetView tabSelected="1" workbookViewId="0">
      <pane xSplit="7" ySplit="1" topLeftCell="W2" activePane="bottomRight" state="frozenSplit"/>
      <selection pane="topRight" activeCell="H1" sqref="H1"/>
      <selection pane="bottomLeft" activeCell="A2" sqref="A2"/>
      <selection pane="bottomRight" activeCell="G175" sqref="G175"/>
    </sheetView>
  </sheetViews>
  <sheetFormatPr defaultRowHeight="14.4" x14ac:dyDescent="0.3"/>
  <cols>
    <col min="1" max="6" width="3" style="56" customWidth="1"/>
    <col min="7" max="7" width="30.5546875" style="56" customWidth="1"/>
    <col min="8" max="8" width="7.88671875" hidden="1" customWidth="1"/>
    <col min="9" max="12" width="8.44140625" hidden="1" customWidth="1"/>
    <col min="13" max="14" width="8.6640625" hidden="1" customWidth="1"/>
    <col min="15" max="15" width="8.44140625" hidden="1" customWidth="1"/>
    <col min="16" max="16" width="9.33203125" hidden="1" customWidth="1"/>
    <col min="17" max="17" width="7.88671875" hidden="1" customWidth="1"/>
    <col min="18" max="19" width="8.6640625" hidden="1" customWidth="1"/>
    <col min="20" max="20" width="8.33203125" hidden="1" customWidth="1"/>
    <col min="21" max="22" width="10" hidden="1" customWidth="1"/>
    <col min="23" max="23" width="10" bestFit="1" customWidth="1"/>
    <col min="24" max="24" width="45.6640625" style="68" hidden="1" customWidth="1"/>
    <col min="25" max="27" width="8.88671875" hidden="1" customWidth="1"/>
    <col min="28" max="32" width="3" style="105" hidden="1" customWidth="1"/>
    <col min="33" max="33" width="23.44140625" style="105" hidden="1" customWidth="1"/>
    <col min="34" max="35" width="7.109375" style="109" hidden="1" customWidth="1"/>
    <col min="36" max="36" width="7.88671875" style="109" hidden="1" customWidth="1"/>
    <col min="37" max="37" width="8.33203125" style="109" hidden="1" customWidth="1"/>
    <col min="38" max="38" width="7.109375" style="109" hidden="1" customWidth="1"/>
    <col min="39" max="39" width="7.5546875" style="109" hidden="1" customWidth="1"/>
    <col min="40" max="41" width="7.109375" style="109" hidden="1" customWidth="1"/>
    <col min="42" max="42" width="7.5546875" style="109" hidden="1" customWidth="1"/>
    <col min="43" max="44" width="7.88671875" style="109" hidden="1" customWidth="1"/>
    <col min="45" max="45" width="7.109375" style="109" hidden="1" customWidth="1"/>
    <col min="46" max="46" width="7.5546875" style="109" hidden="1" customWidth="1"/>
    <col min="47" max="49" width="9.5546875" style="109" hidden="1" customWidth="1"/>
    <col min="50" max="50" width="7.5546875" style="109" hidden="1" customWidth="1"/>
    <col min="51" max="51" width="10.109375" style="110" hidden="1" customWidth="1"/>
    <col min="52" max="52" width="9.5546875" style="110" hidden="1" customWidth="1"/>
    <col min="53" max="53" width="10" style="110" hidden="1" customWidth="1"/>
    <col min="54" max="54" width="22.88671875" style="111" hidden="1" customWidth="1"/>
    <col min="55" max="56" width="8.88671875" hidden="1" customWidth="1"/>
    <col min="57" max="57" width="0" hidden="1" customWidth="1"/>
  </cols>
  <sheetData>
    <row r="1" spans="1:54" s="65" customFormat="1" ht="33.75" customHeight="1" thickBot="1" x14ac:dyDescent="0.25">
      <c r="A1" s="63"/>
      <c r="B1" s="63"/>
      <c r="C1" s="63"/>
      <c r="D1" s="63"/>
      <c r="E1" s="63"/>
      <c r="F1" s="63"/>
      <c r="G1" s="63"/>
      <c r="H1" s="64" t="s">
        <v>266</v>
      </c>
      <c r="I1" s="64" t="s">
        <v>267</v>
      </c>
      <c r="J1" s="64" t="s">
        <v>268</v>
      </c>
      <c r="K1" s="64" t="s">
        <v>269</v>
      </c>
      <c r="L1" s="64" t="s">
        <v>270</v>
      </c>
      <c r="M1" s="64" t="s">
        <v>271</v>
      </c>
      <c r="N1" s="64" t="s">
        <v>272</v>
      </c>
      <c r="O1" s="64" t="s">
        <v>273</v>
      </c>
      <c r="P1" s="64" t="s">
        <v>274</v>
      </c>
      <c r="Q1" s="64" t="s">
        <v>294</v>
      </c>
      <c r="R1" s="64" t="s">
        <v>306</v>
      </c>
      <c r="S1" s="64" t="s">
        <v>282</v>
      </c>
      <c r="T1" s="64"/>
      <c r="U1" s="64" t="s">
        <v>314</v>
      </c>
      <c r="V1" s="64" t="s">
        <v>308</v>
      </c>
      <c r="W1" s="64" t="s">
        <v>284</v>
      </c>
      <c r="X1" s="68"/>
      <c r="AB1" s="83"/>
      <c r="AC1" s="83"/>
      <c r="AD1" s="83"/>
      <c r="AE1" s="83"/>
      <c r="AF1" s="83"/>
      <c r="AG1" s="83"/>
      <c r="AH1" s="84"/>
      <c r="AI1" s="84"/>
      <c r="AJ1" s="84"/>
      <c r="AK1" s="84"/>
      <c r="AL1" s="84" t="s">
        <v>221</v>
      </c>
      <c r="AM1" s="84" t="s">
        <v>222</v>
      </c>
      <c r="AN1" s="84" t="s">
        <v>223</v>
      </c>
      <c r="AO1" s="84" t="s">
        <v>224</v>
      </c>
      <c r="AP1" s="84" t="s">
        <v>225</v>
      </c>
      <c r="AQ1" s="84" t="s">
        <v>226</v>
      </c>
      <c r="AR1" s="84" t="s">
        <v>227</v>
      </c>
      <c r="AS1" s="84" t="s">
        <v>228</v>
      </c>
      <c r="AT1" s="84" t="s">
        <v>229</v>
      </c>
      <c r="AU1" s="84" t="s">
        <v>260</v>
      </c>
      <c r="AV1" s="84" t="s">
        <v>234</v>
      </c>
      <c r="AW1" s="84" t="s">
        <v>235</v>
      </c>
      <c r="AX1" s="84"/>
      <c r="AY1" s="85" t="s">
        <v>236</v>
      </c>
      <c r="AZ1" s="85" t="s">
        <v>220</v>
      </c>
      <c r="BA1" s="85" t="s">
        <v>240</v>
      </c>
      <c r="BB1" s="85" t="s">
        <v>241</v>
      </c>
    </row>
    <row r="2" spans="1:54" ht="15" thickTop="1" x14ac:dyDescent="0.3">
      <c r="A2" s="50"/>
      <c r="B2" s="50" t="s">
        <v>1</v>
      </c>
      <c r="C2" s="50"/>
      <c r="D2" s="50"/>
      <c r="E2" s="50"/>
      <c r="F2" s="50"/>
      <c r="G2" s="50"/>
      <c r="H2" s="51"/>
      <c r="I2" s="51"/>
      <c r="J2" s="51"/>
      <c r="K2" s="51"/>
      <c r="L2" s="51"/>
      <c r="M2" s="51"/>
      <c r="N2" s="51"/>
      <c r="O2" s="51"/>
      <c r="P2" s="51"/>
      <c r="Q2" s="51"/>
      <c r="R2" s="51"/>
      <c r="S2" s="51"/>
      <c r="T2" s="51"/>
      <c r="U2" s="51"/>
      <c r="V2" s="51"/>
      <c r="W2" s="51"/>
      <c r="AB2" s="86" t="s">
        <v>1</v>
      </c>
      <c r="AC2" s="86"/>
      <c r="AD2" s="86"/>
      <c r="AE2" s="86"/>
      <c r="AF2" s="86"/>
      <c r="AG2" s="86"/>
      <c r="AH2" s="87"/>
      <c r="AI2" s="87"/>
      <c r="AJ2" s="87"/>
      <c r="AK2" s="87"/>
      <c r="AL2" s="87"/>
      <c r="AM2" s="87"/>
      <c r="AN2" s="87"/>
      <c r="AO2" s="87"/>
      <c r="AP2" s="87"/>
      <c r="AQ2" s="87"/>
      <c r="AR2" s="87"/>
      <c r="AS2" s="87"/>
      <c r="AT2" s="87"/>
      <c r="AU2" s="87"/>
      <c r="AV2" s="87"/>
      <c r="AW2" s="87"/>
      <c r="AX2" s="87"/>
      <c r="AY2" s="88"/>
      <c r="AZ2" s="88"/>
      <c r="BA2" s="88"/>
      <c r="BB2" s="89"/>
    </row>
    <row r="3" spans="1:54" x14ac:dyDescent="0.3">
      <c r="A3" s="50"/>
      <c r="B3" s="50"/>
      <c r="C3" s="50"/>
      <c r="D3" s="50" t="s">
        <v>2</v>
      </c>
      <c r="E3" s="50"/>
      <c r="F3" s="50"/>
      <c r="G3" s="50"/>
      <c r="H3" s="51"/>
      <c r="I3" s="51"/>
      <c r="J3" s="51"/>
      <c r="K3" s="51"/>
      <c r="L3" s="51"/>
      <c r="M3" s="51"/>
      <c r="N3" s="51"/>
      <c r="O3" s="51"/>
      <c r="P3" s="51"/>
      <c r="Q3" s="51"/>
      <c r="R3" s="51"/>
      <c r="S3" s="51"/>
      <c r="T3" s="51"/>
      <c r="U3" s="51"/>
      <c r="V3" s="51"/>
      <c r="W3" s="51"/>
      <c r="AB3" s="86"/>
      <c r="AC3" s="86"/>
      <c r="AD3" s="86" t="s">
        <v>2</v>
      </c>
      <c r="AE3" s="86"/>
      <c r="AF3" s="86"/>
      <c r="AG3" s="86"/>
      <c r="AH3" s="87"/>
      <c r="AI3" s="87"/>
      <c r="AJ3" s="87"/>
      <c r="AK3" s="87"/>
      <c r="AL3" s="87"/>
      <c r="AM3" s="87"/>
      <c r="AN3" s="87"/>
      <c r="AO3" s="87"/>
      <c r="AP3" s="87"/>
      <c r="AQ3" s="87"/>
      <c r="AR3" s="87"/>
      <c r="AS3" s="87"/>
      <c r="AT3" s="87"/>
      <c r="AU3" s="87"/>
      <c r="AV3" s="87"/>
      <c r="AW3" s="87"/>
      <c r="AX3" s="87"/>
      <c r="AY3" s="88"/>
      <c r="AZ3" s="88"/>
      <c r="BA3" s="88"/>
      <c r="BB3" s="89"/>
    </row>
    <row r="4" spans="1:54" x14ac:dyDescent="0.3">
      <c r="A4" s="50"/>
      <c r="B4" s="50"/>
      <c r="C4" s="50"/>
      <c r="D4" s="50"/>
      <c r="E4" s="50" t="s">
        <v>74</v>
      </c>
      <c r="F4" s="50"/>
      <c r="G4" s="50"/>
      <c r="H4" s="51"/>
      <c r="I4" s="51"/>
      <c r="J4" s="51"/>
      <c r="K4" s="51"/>
      <c r="L4" s="51"/>
      <c r="M4" s="51"/>
      <c r="N4" s="51"/>
      <c r="O4" s="51"/>
      <c r="P4" s="51"/>
      <c r="Q4" s="51"/>
      <c r="R4" s="51"/>
      <c r="S4" s="51"/>
      <c r="T4" s="51"/>
      <c r="U4" s="51"/>
      <c r="V4" s="51"/>
      <c r="W4" s="51"/>
      <c r="AB4" s="86"/>
      <c r="AC4" s="86"/>
      <c r="AD4" s="86"/>
      <c r="AE4" s="86" t="s">
        <v>74</v>
      </c>
      <c r="AF4" s="86"/>
      <c r="AG4" s="86"/>
      <c r="AH4" s="87"/>
      <c r="AI4" s="87"/>
      <c r="AJ4" s="87"/>
      <c r="AK4" s="87"/>
      <c r="AL4" s="87"/>
      <c r="AM4" s="87"/>
      <c r="AN4" s="87"/>
      <c r="AO4" s="87"/>
      <c r="AP4" s="87"/>
      <c r="AQ4" s="87"/>
      <c r="AR4" s="87"/>
      <c r="AS4" s="87"/>
      <c r="AT4" s="87"/>
      <c r="AU4" s="87"/>
      <c r="AV4" s="87"/>
      <c r="AW4" s="87"/>
      <c r="AX4" s="87"/>
      <c r="AY4" s="88"/>
      <c r="AZ4" s="88"/>
      <c r="BA4" s="88"/>
      <c r="BB4" s="89"/>
    </row>
    <row r="5" spans="1:54" x14ac:dyDescent="0.3">
      <c r="A5" s="50"/>
      <c r="B5" s="50"/>
      <c r="C5" s="50"/>
      <c r="D5" s="50"/>
      <c r="E5" s="50"/>
      <c r="F5" s="50" t="s">
        <v>75</v>
      </c>
      <c r="G5" s="50"/>
      <c r="H5" s="51">
        <v>0</v>
      </c>
      <c r="I5" s="51">
        <v>0</v>
      </c>
      <c r="J5" s="51">
        <v>0</v>
      </c>
      <c r="K5" s="51">
        <v>10434.290000000001</v>
      </c>
      <c r="L5" s="51">
        <v>-1558.69</v>
      </c>
      <c r="M5" s="51">
        <v>207958.45</v>
      </c>
      <c r="N5" s="51">
        <v>168614.58</v>
      </c>
      <c r="O5" s="51">
        <v>0</v>
      </c>
      <c r="P5" s="51">
        <v>0</v>
      </c>
      <c r="Q5" s="51">
        <v>69317.960000000006</v>
      </c>
      <c r="R5" s="51">
        <v>207662.09</v>
      </c>
      <c r="S5" s="51">
        <v>16877</v>
      </c>
      <c r="T5" s="51"/>
      <c r="U5" s="51">
        <f t="shared" ref="U5:U15" si="0">ROUND(SUM(H5:T5),5)</f>
        <v>679305.68</v>
      </c>
      <c r="V5" s="67">
        <v>663000</v>
      </c>
      <c r="W5" s="67">
        <f>663000-766800+800000</f>
        <v>696200</v>
      </c>
      <c r="AB5" s="86"/>
      <c r="AC5" s="86"/>
      <c r="AD5" s="86"/>
      <c r="AE5" s="86"/>
      <c r="AF5" s="86" t="s">
        <v>75</v>
      </c>
      <c r="AG5" s="86"/>
      <c r="AH5" s="87"/>
      <c r="AI5" s="87"/>
      <c r="AJ5" s="87"/>
      <c r="AK5" s="87"/>
      <c r="AL5" s="87">
        <v>-4000.33</v>
      </c>
      <c r="AM5" s="87">
        <v>0</v>
      </c>
      <c r="AN5" s="87">
        <v>0</v>
      </c>
      <c r="AO5" s="87">
        <v>0</v>
      </c>
      <c r="AP5" s="87">
        <v>0</v>
      </c>
      <c r="AQ5" s="87">
        <v>198022.72</v>
      </c>
      <c r="AR5" s="87">
        <v>156187.59</v>
      </c>
      <c r="AS5" s="87">
        <v>3095.51</v>
      </c>
      <c r="AT5" s="87">
        <v>0</v>
      </c>
      <c r="AU5" s="87">
        <v>66007.55</v>
      </c>
      <c r="AV5" s="87">
        <v>190781.16</v>
      </c>
      <c r="AW5" s="87">
        <v>13907</v>
      </c>
      <c r="AX5" s="87"/>
      <c r="AY5" s="88">
        <f t="shared" ref="AY5:AY15" si="1">ROUND(SUM(AH5:AX5),5)</f>
        <v>624001.19999999995</v>
      </c>
      <c r="AZ5" s="88">
        <v>625300</v>
      </c>
      <c r="BA5" s="88">
        <v>663000</v>
      </c>
      <c r="BB5" s="89"/>
    </row>
    <row r="6" spans="1:54" x14ac:dyDescent="0.3">
      <c r="A6" s="50"/>
      <c r="B6" s="50"/>
      <c r="C6" s="50"/>
      <c r="D6" s="50"/>
      <c r="E6" s="50"/>
      <c r="F6" s="50" t="s">
        <v>76</v>
      </c>
      <c r="G6" s="50"/>
      <c r="H6" s="51">
        <v>0</v>
      </c>
      <c r="I6" s="51">
        <v>2255.1999999999998</v>
      </c>
      <c r="J6" s="51">
        <v>0</v>
      </c>
      <c r="K6" s="51">
        <v>28316.05</v>
      </c>
      <c r="L6" s="51">
        <v>0</v>
      </c>
      <c r="M6" s="51">
        <v>0</v>
      </c>
      <c r="N6" s="51">
        <v>0</v>
      </c>
      <c r="O6" s="51">
        <v>0</v>
      </c>
      <c r="P6" s="51">
        <v>4147.16</v>
      </c>
      <c r="Q6" s="51">
        <v>0</v>
      </c>
      <c r="R6" s="51">
        <v>0</v>
      </c>
      <c r="S6" s="51">
        <v>2000</v>
      </c>
      <c r="T6" s="51"/>
      <c r="U6" s="51">
        <f t="shared" si="0"/>
        <v>36718.410000000003</v>
      </c>
      <c r="V6" s="67">
        <v>25000</v>
      </c>
      <c r="W6" s="67">
        <v>25000</v>
      </c>
      <c r="AB6" s="86"/>
      <c r="AC6" s="86"/>
      <c r="AD6" s="86"/>
      <c r="AE6" s="86"/>
      <c r="AF6" s="86" t="s">
        <v>76</v>
      </c>
      <c r="AG6" s="86"/>
      <c r="AH6" s="87"/>
      <c r="AI6" s="87"/>
      <c r="AJ6" s="87"/>
      <c r="AK6" s="87"/>
      <c r="AL6" s="87">
        <v>0</v>
      </c>
      <c r="AM6" s="87">
        <v>0</v>
      </c>
      <c r="AN6" s="87">
        <v>0</v>
      </c>
      <c r="AO6" s="87">
        <v>25398.66</v>
      </c>
      <c r="AP6" s="87">
        <v>0</v>
      </c>
      <c r="AQ6" s="87">
        <v>1708.76</v>
      </c>
      <c r="AR6" s="87">
        <v>0</v>
      </c>
      <c r="AS6" s="87">
        <v>0</v>
      </c>
      <c r="AT6" s="87">
        <v>0</v>
      </c>
      <c r="AU6" s="87">
        <v>0</v>
      </c>
      <c r="AV6" s="87">
        <v>0</v>
      </c>
      <c r="AW6" s="87">
        <v>17730</v>
      </c>
      <c r="AX6" s="87"/>
      <c r="AY6" s="88">
        <f t="shared" si="1"/>
        <v>44837.42</v>
      </c>
      <c r="AZ6" s="88">
        <v>15000</v>
      </c>
      <c r="BA6" s="88">
        <v>25000</v>
      </c>
      <c r="BB6" s="89" t="s">
        <v>254</v>
      </c>
    </row>
    <row r="7" spans="1:54" x14ac:dyDescent="0.3">
      <c r="A7" s="50"/>
      <c r="B7" s="50"/>
      <c r="C7" s="50"/>
      <c r="D7" s="50"/>
      <c r="E7" s="50"/>
      <c r="F7" s="50" t="s">
        <v>275</v>
      </c>
      <c r="G7" s="50"/>
      <c r="H7" s="51">
        <v>0</v>
      </c>
      <c r="I7" s="51">
        <v>-965.01</v>
      </c>
      <c r="J7" s="51">
        <v>0</v>
      </c>
      <c r="K7" s="51">
        <v>0</v>
      </c>
      <c r="L7" s="51">
        <v>0</v>
      </c>
      <c r="M7" s="51">
        <v>0</v>
      </c>
      <c r="N7" s="51">
        <v>0</v>
      </c>
      <c r="O7" s="51">
        <v>0</v>
      </c>
      <c r="P7" s="51">
        <v>0</v>
      </c>
      <c r="Q7" s="51">
        <v>0</v>
      </c>
      <c r="R7" s="51">
        <v>0</v>
      </c>
      <c r="S7" s="51">
        <v>0</v>
      </c>
      <c r="T7" s="51"/>
      <c r="U7" s="51">
        <f t="shared" si="0"/>
        <v>-965.01</v>
      </c>
      <c r="V7" s="51">
        <v>0</v>
      </c>
      <c r="W7" s="51">
        <v>0</v>
      </c>
      <c r="AB7" s="86"/>
      <c r="AC7" s="86"/>
      <c r="AD7" s="86"/>
      <c r="AE7" s="86"/>
      <c r="AF7" s="86"/>
      <c r="AG7" s="86"/>
      <c r="AH7" s="87"/>
      <c r="AI7" s="87"/>
      <c r="AJ7" s="87"/>
      <c r="AK7" s="87"/>
      <c r="AL7" s="87"/>
      <c r="AM7" s="87"/>
      <c r="AN7" s="87"/>
      <c r="AO7" s="87"/>
      <c r="AP7" s="87"/>
      <c r="AQ7" s="87"/>
      <c r="AR7" s="87"/>
      <c r="AS7" s="87"/>
      <c r="AT7" s="87"/>
      <c r="AU7" s="87"/>
      <c r="AV7" s="87"/>
      <c r="AW7" s="87"/>
      <c r="AX7" s="87"/>
      <c r="AY7" s="88"/>
      <c r="AZ7" s="88"/>
      <c r="BA7" s="88"/>
      <c r="BB7" s="89"/>
    </row>
    <row r="8" spans="1:54" x14ac:dyDescent="0.3">
      <c r="A8" s="50"/>
      <c r="B8" s="50"/>
      <c r="C8" s="50"/>
      <c r="D8" s="50"/>
      <c r="E8" s="50"/>
      <c r="F8" s="50" t="s">
        <v>77</v>
      </c>
      <c r="G8" s="50"/>
      <c r="H8" s="51">
        <v>0</v>
      </c>
      <c r="I8" s="51">
        <v>0</v>
      </c>
      <c r="J8" s="51">
        <v>0</v>
      </c>
      <c r="K8" s="51">
        <v>0</v>
      </c>
      <c r="L8" s="51">
        <v>0</v>
      </c>
      <c r="M8" s="51">
        <v>0</v>
      </c>
      <c r="N8" s="51">
        <v>0</v>
      </c>
      <c r="O8" s="51">
        <v>0</v>
      </c>
      <c r="P8" s="51">
        <v>0</v>
      </c>
      <c r="Q8" s="51">
        <v>0</v>
      </c>
      <c r="R8" s="51">
        <v>0</v>
      </c>
      <c r="S8" s="51">
        <v>3049</v>
      </c>
      <c r="T8" s="51"/>
      <c r="U8" s="51">
        <f t="shared" si="0"/>
        <v>3049</v>
      </c>
      <c r="V8" s="67">
        <v>9600</v>
      </c>
      <c r="W8" s="67">
        <v>9600</v>
      </c>
      <c r="AB8" s="86"/>
      <c r="AC8" s="86"/>
      <c r="AD8" s="86"/>
      <c r="AE8" s="86"/>
      <c r="AF8" s="86" t="s">
        <v>77</v>
      </c>
      <c r="AG8" s="86"/>
      <c r="AH8" s="87"/>
      <c r="AI8" s="87"/>
      <c r="AJ8" s="87"/>
      <c r="AK8" s="87"/>
      <c r="AL8" s="87">
        <v>0</v>
      </c>
      <c r="AM8" s="87">
        <v>0</v>
      </c>
      <c r="AN8" s="87">
        <v>0</v>
      </c>
      <c r="AO8" s="87">
        <v>0</v>
      </c>
      <c r="AP8" s="87">
        <v>0</v>
      </c>
      <c r="AQ8" s="87">
        <v>0</v>
      </c>
      <c r="AR8" s="87">
        <v>3744.8</v>
      </c>
      <c r="AS8" s="87">
        <v>0</v>
      </c>
      <c r="AT8" s="87">
        <v>2285.4699999999998</v>
      </c>
      <c r="AU8" s="87">
        <v>0</v>
      </c>
      <c r="AV8" s="87">
        <v>3115.61</v>
      </c>
      <c r="AW8" s="87">
        <v>260</v>
      </c>
      <c r="AX8" s="87"/>
      <c r="AY8" s="88">
        <f t="shared" si="1"/>
        <v>9405.8799999999992</v>
      </c>
      <c r="AZ8" s="88">
        <v>9000</v>
      </c>
      <c r="BA8" s="88">
        <v>9600</v>
      </c>
      <c r="BB8" s="89" t="s">
        <v>254</v>
      </c>
    </row>
    <row r="9" spans="1:54" x14ac:dyDescent="0.3">
      <c r="A9" s="50"/>
      <c r="B9" s="50"/>
      <c r="C9" s="50"/>
      <c r="D9" s="50"/>
      <c r="E9" s="50"/>
      <c r="F9" s="50" t="s">
        <v>78</v>
      </c>
      <c r="G9" s="50"/>
      <c r="H9" s="51">
        <v>0</v>
      </c>
      <c r="I9" s="51">
        <v>511.88</v>
      </c>
      <c r="J9" s="51">
        <v>0</v>
      </c>
      <c r="K9" s="51">
        <v>0</v>
      </c>
      <c r="L9" s="51">
        <v>0</v>
      </c>
      <c r="M9" s="51">
        <v>0</v>
      </c>
      <c r="N9" s="51">
        <v>0</v>
      </c>
      <c r="O9" s="51">
        <v>8608.42</v>
      </c>
      <c r="P9" s="51">
        <v>1439.07</v>
      </c>
      <c r="Q9" s="51">
        <v>0</v>
      </c>
      <c r="R9" s="51">
        <v>0</v>
      </c>
      <c r="S9" s="51">
        <v>0</v>
      </c>
      <c r="T9" s="51"/>
      <c r="U9" s="51">
        <f t="shared" si="0"/>
        <v>10559.37</v>
      </c>
      <c r="V9" s="67">
        <v>4500</v>
      </c>
      <c r="W9" s="67">
        <v>4500</v>
      </c>
      <c r="AB9" s="86"/>
      <c r="AC9" s="86"/>
      <c r="AD9" s="86"/>
      <c r="AE9" s="86"/>
      <c r="AF9" s="86" t="s">
        <v>78</v>
      </c>
      <c r="AG9" s="86"/>
      <c r="AH9" s="87"/>
      <c r="AI9" s="87"/>
      <c r="AJ9" s="87"/>
      <c r="AK9" s="87"/>
      <c r="AL9" s="87">
        <v>0</v>
      </c>
      <c r="AM9" s="87">
        <v>0</v>
      </c>
      <c r="AN9" s="87">
        <v>0</v>
      </c>
      <c r="AO9" s="87">
        <v>0</v>
      </c>
      <c r="AP9" s="87">
        <v>0</v>
      </c>
      <c r="AQ9" s="87">
        <v>0</v>
      </c>
      <c r="AR9" s="87">
        <v>3829.4</v>
      </c>
      <c r="AS9" s="87">
        <v>0</v>
      </c>
      <c r="AT9" s="87">
        <v>644.45000000000005</v>
      </c>
      <c r="AU9" s="87">
        <v>0</v>
      </c>
      <c r="AV9" s="87">
        <v>0</v>
      </c>
      <c r="AW9" s="87">
        <v>2014.63</v>
      </c>
      <c r="AX9" s="87"/>
      <c r="AY9" s="88">
        <f t="shared" si="1"/>
        <v>6488.48</v>
      </c>
      <c r="AZ9" s="88">
        <v>3500</v>
      </c>
      <c r="BA9" s="88">
        <v>4500</v>
      </c>
      <c r="BB9" s="89" t="s">
        <v>254</v>
      </c>
    </row>
    <row r="10" spans="1:54" x14ac:dyDescent="0.3">
      <c r="A10" s="50"/>
      <c r="B10" s="50"/>
      <c r="C10" s="50"/>
      <c r="D10" s="50"/>
      <c r="E10" s="50"/>
      <c r="F10" s="50" t="s">
        <v>79</v>
      </c>
      <c r="G10" s="50"/>
      <c r="H10" s="51">
        <v>0</v>
      </c>
      <c r="I10" s="51">
        <v>0</v>
      </c>
      <c r="J10" s="51">
        <v>0</v>
      </c>
      <c r="K10" s="51">
        <v>0</v>
      </c>
      <c r="L10" s="51">
        <v>0</v>
      </c>
      <c r="M10" s="51">
        <v>0</v>
      </c>
      <c r="N10" s="51">
        <v>0</v>
      </c>
      <c r="O10" s="51">
        <v>0</v>
      </c>
      <c r="P10" s="51">
        <v>0</v>
      </c>
      <c r="Q10" s="51">
        <v>0</v>
      </c>
      <c r="R10" s="51">
        <v>0</v>
      </c>
      <c r="S10" s="51">
        <v>-4890</v>
      </c>
      <c r="T10" s="51"/>
      <c r="U10" s="51">
        <f t="shared" si="0"/>
        <v>-4890</v>
      </c>
      <c r="V10" s="67">
        <v>10000</v>
      </c>
      <c r="W10" s="67">
        <v>10000</v>
      </c>
      <c r="AB10" s="86"/>
      <c r="AC10" s="86"/>
      <c r="AD10" s="86"/>
      <c r="AE10" s="86"/>
      <c r="AF10" s="86" t="s">
        <v>79</v>
      </c>
      <c r="AG10" s="86"/>
      <c r="AH10" s="87"/>
      <c r="AI10" s="87"/>
      <c r="AJ10" s="87"/>
      <c r="AK10" s="87"/>
      <c r="AL10" s="87">
        <v>0</v>
      </c>
      <c r="AM10" s="87">
        <v>0</v>
      </c>
      <c r="AN10" s="87">
        <v>0</v>
      </c>
      <c r="AO10" s="87">
        <v>4889.55</v>
      </c>
      <c r="AP10" s="87">
        <v>0</v>
      </c>
      <c r="AQ10" s="87">
        <v>0</v>
      </c>
      <c r="AR10" s="87">
        <v>0</v>
      </c>
      <c r="AS10" s="87">
        <v>0</v>
      </c>
      <c r="AT10" s="87">
        <v>0</v>
      </c>
      <c r="AU10" s="87">
        <v>0</v>
      </c>
      <c r="AV10" s="87">
        <v>0</v>
      </c>
      <c r="AW10" s="87">
        <v>-1639</v>
      </c>
      <c r="AX10" s="87"/>
      <c r="AY10" s="88">
        <f t="shared" si="1"/>
        <v>3250.55</v>
      </c>
      <c r="AZ10" s="88">
        <v>10000</v>
      </c>
      <c r="BA10" s="88">
        <v>10000</v>
      </c>
      <c r="BB10" s="89"/>
    </row>
    <row r="11" spans="1:54" x14ac:dyDescent="0.3">
      <c r="A11" s="50"/>
      <c r="B11" s="50"/>
      <c r="C11" s="50"/>
      <c r="D11" s="50"/>
      <c r="E11" s="50"/>
      <c r="F11" s="50" t="s">
        <v>80</v>
      </c>
      <c r="G11" s="50"/>
      <c r="H11" s="51">
        <v>0</v>
      </c>
      <c r="I11" s="51">
        <v>0</v>
      </c>
      <c r="J11" s="51">
        <v>0</v>
      </c>
      <c r="K11" s="51">
        <v>0</v>
      </c>
      <c r="L11" s="51">
        <v>0</v>
      </c>
      <c r="M11" s="51">
        <v>48208.65</v>
      </c>
      <c r="N11" s="51">
        <v>0</v>
      </c>
      <c r="O11" s="51">
        <v>0</v>
      </c>
      <c r="P11" s="51">
        <v>0</v>
      </c>
      <c r="Q11" s="51">
        <v>0</v>
      </c>
      <c r="R11" s="51">
        <v>49655.95</v>
      </c>
      <c r="S11" s="51">
        <v>0</v>
      </c>
      <c r="T11" s="51"/>
      <c r="U11" s="51">
        <f t="shared" si="0"/>
        <v>97864.6</v>
      </c>
      <c r="V11" s="67">
        <v>40000</v>
      </c>
      <c r="W11" s="67">
        <v>40000</v>
      </c>
      <c r="AB11" s="86"/>
      <c r="AC11" s="86"/>
      <c r="AD11" s="86"/>
      <c r="AE11" s="86"/>
      <c r="AF11" s="86" t="s">
        <v>80</v>
      </c>
      <c r="AG11" s="86"/>
      <c r="AH11" s="87"/>
      <c r="AI11" s="87"/>
      <c r="AJ11" s="87"/>
      <c r="AK11" s="87"/>
      <c r="AL11" s="87">
        <v>0</v>
      </c>
      <c r="AM11" s="87">
        <v>0</v>
      </c>
      <c r="AN11" s="87">
        <v>0</v>
      </c>
      <c r="AO11" s="87">
        <v>0</v>
      </c>
      <c r="AP11" s="87">
        <v>0</v>
      </c>
      <c r="AQ11" s="87">
        <v>0</v>
      </c>
      <c r="AR11" s="87">
        <v>43513.8</v>
      </c>
      <c r="AS11" s="87">
        <v>0</v>
      </c>
      <c r="AT11" s="87">
        <v>0</v>
      </c>
      <c r="AU11" s="87">
        <v>0</v>
      </c>
      <c r="AV11" s="87">
        <v>0</v>
      </c>
      <c r="AW11" s="87">
        <v>41834.04</v>
      </c>
      <c r="AX11" s="87"/>
      <c r="AY11" s="88">
        <f t="shared" si="1"/>
        <v>85347.839999999997</v>
      </c>
      <c r="AZ11" s="88">
        <v>40000</v>
      </c>
      <c r="BA11" s="88">
        <v>40000</v>
      </c>
      <c r="BB11" s="89"/>
    </row>
    <row r="12" spans="1:54" x14ac:dyDescent="0.3">
      <c r="A12" s="50"/>
      <c r="B12" s="50"/>
      <c r="C12" s="50"/>
      <c r="D12" s="50"/>
      <c r="E12" s="50"/>
      <c r="F12" s="50" t="s">
        <v>81</v>
      </c>
      <c r="G12" s="50"/>
      <c r="H12" s="51">
        <v>0</v>
      </c>
      <c r="I12" s="51">
        <v>0</v>
      </c>
      <c r="J12" s="51">
        <v>0</v>
      </c>
      <c r="K12" s="51">
        <v>0</v>
      </c>
      <c r="L12" s="51">
        <v>0</v>
      </c>
      <c r="M12" s="51">
        <v>934.92</v>
      </c>
      <c r="N12" s="51">
        <v>2181.48</v>
      </c>
      <c r="O12" s="51">
        <v>0</v>
      </c>
      <c r="P12" s="51">
        <v>0</v>
      </c>
      <c r="Q12" s="51">
        <v>0</v>
      </c>
      <c r="R12" s="51">
        <v>2181.67</v>
      </c>
      <c r="S12" s="51">
        <v>4023.37</v>
      </c>
      <c r="T12" s="51"/>
      <c r="U12" s="51">
        <f t="shared" si="0"/>
        <v>9321.44</v>
      </c>
      <c r="V12" s="67">
        <v>4000</v>
      </c>
      <c r="W12" s="67">
        <v>4000</v>
      </c>
      <c r="AB12" s="86"/>
      <c r="AC12" s="86"/>
      <c r="AD12" s="86"/>
      <c r="AE12" s="86"/>
      <c r="AF12" s="86" t="s">
        <v>81</v>
      </c>
      <c r="AG12" s="86"/>
      <c r="AH12" s="87"/>
      <c r="AI12" s="87"/>
      <c r="AJ12" s="87"/>
      <c r="AK12" s="87"/>
      <c r="AL12" s="87">
        <v>0</v>
      </c>
      <c r="AM12" s="87">
        <v>0</v>
      </c>
      <c r="AN12" s="87">
        <v>0</v>
      </c>
      <c r="AO12" s="87">
        <v>0</v>
      </c>
      <c r="AP12" s="87">
        <v>0</v>
      </c>
      <c r="AQ12" s="87">
        <v>0</v>
      </c>
      <c r="AR12" s="87">
        <v>0</v>
      </c>
      <c r="AS12" s="87">
        <v>0</v>
      </c>
      <c r="AT12" s="87">
        <v>0</v>
      </c>
      <c r="AU12" s="87">
        <v>0</v>
      </c>
      <c r="AV12" s="87">
        <v>2208.9</v>
      </c>
      <c r="AW12" s="87">
        <v>946.84</v>
      </c>
      <c r="AX12" s="87"/>
      <c r="AY12" s="88">
        <f t="shared" si="1"/>
        <v>3155.74</v>
      </c>
      <c r="AZ12" s="88">
        <v>7000</v>
      </c>
      <c r="BA12" s="88">
        <v>4000</v>
      </c>
      <c r="BB12" s="89"/>
    </row>
    <row r="13" spans="1:54" x14ac:dyDescent="0.3">
      <c r="A13" s="50"/>
      <c r="B13" s="50"/>
      <c r="C13" s="50"/>
      <c r="D13" s="50"/>
      <c r="E13" s="50"/>
      <c r="F13" s="50" t="s">
        <v>82</v>
      </c>
      <c r="G13" s="50"/>
      <c r="H13" s="51">
        <v>0</v>
      </c>
      <c r="I13" s="51">
        <v>-0.37</v>
      </c>
      <c r="J13" s="51">
        <v>0</v>
      </c>
      <c r="K13" s="51">
        <v>0</v>
      </c>
      <c r="L13" s="51">
        <v>0</v>
      </c>
      <c r="M13" s="51">
        <v>0</v>
      </c>
      <c r="N13" s="51">
        <v>0</v>
      </c>
      <c r="O13" s="51">
        <v>5630.34</v>
      </c>
      <c r="P13" s="51">
        <v>0</v>
      </c>
      <c r="Q13" s="51">
        <v>0</v>
      </c>
      <c r="R13" s="51">
        <v>5460.53</v>
      </c>
      <c r="S13" s="51">
        <v>0</v>
      </c>
      <c r="T13" s="51"/>
      <c r="U13" s="51">
        <f t="shared" si="0"/>
        <v>11090.5</v>
      </c>
      <c r="V13" s="67">
        <v>10500</v>
      </c>
      <c r="W13" s="67">
        <v>10500</v>
      </c>
      <c r="AB13" s="86"/>
      <c r="AC13" s="86"/>
      <c r="AD13" s="86"/>
      <c r="AE13" s="86"/>
      <c r="AF13" s="86" t="s">
        <v>82</v>
      </c>
      <c r="AG13" s="86"/>
      <c r="AH13" s="87"/>
      <c r="AI13" s="87"/>
      <c r="AJ13" s="87"/>
      <c r="AK13" s="87"/>
      <c r="AL13" s="87">
        <v>0</v>
      </c>
      <c r="AM13" s="87">
        <v>0</v>
      </c>
      <c r="AN13" s="87">
        <v>0</v>
      </c>
      <c r="AO13" s="87">
        <v>0</v>
      </c>
      <c r="AP13" s="87">
        <v>0</v>
      </c>
      <c r="AQ13" s="87">
        <v>0</v>
      </c>
      <c r="AR13" s="87">
        <v>5671.54</v>
      </c>
      <c r="AS13" s="87">
        <v>0</v>
      </c>
      <c r="AT13" s="87">
        <v>0</v>
      </c>
      <c r="AU13" s="87">
        <v>0</v>
      </c>
      <c r="AV13" s="87">
        <v>4670.6000000000004</v>
      </c>
      <c r="AW13" s="87">
        <v>143</v>
      </c>
      <c r="AX13" s="87"/>
      <c r="AY13" s="88">
        <f t="shared" si="1"/>
        <v>10485.14</v>
      </c>
      <c r="AZ13" s="88">
        <v>10000</v>
      </c>
      <c r="BA13" s="88">
        <v>10500</v>
      </c>
      <c r="BB13" s="89"/>
    </row>
    <row r="14" spans="1:54" ht="15" thickBot="1" x14ac:dyDescent="0.35">
      <c r="A14" s="50"/>
      <c r="B14" s="50"/>
      <c r="C14" s="50"/>
      <c r="D14" s="50"/>
      <c r="E14" s="50"/>
      <c r="F14" s="50" t="s">
        <v>83</v>
      </c>
      <c r="G14" s="50"/>
      <c r="H14" s="52">
        <v>0</v>
      </c>
      <c r="I14" s="52">
        <v>0</v>
      </c>
      <c r="J14" s="52">
        <v>0</v>
      </c>
      <c r="K14" s="52">
        <v>0</v>
      </c>
      <c r="L14" s="52">
        <v>0</v>
      </c>
      <c r="M14" s="52">
        <v>0</v>
      </c>
      <c r="N14" s="52">
        <v>0</v>
      </c>
      <c r="O14" s="52">
        <v>115.4</v>
      </c>
      <c r="P14" s="52">
        <v>0</v>
      </c>
      <c r="Q14" s="52">
        <v>0</v>
      </c>
      <c r="R14" s="52">
        <v>0</v>
      </c>
      <c r="S14" s="52">
        <v>-115.63</v>
      </c>
      <c r="T14" s="52"/>
      <c r="U14" s="52">
        <f t="shared" si="0"/>
        <v>-0.23</v>
      </c>
      <c r="V14" s="69">
        <v>200</v>
      </c>
      <c r="W14" s="69">
        <v>200</v>
      </c>
      <c r="AB14" s="86"/>
      <c r="AC14" s="86"/>
      <c r="AD14" s="86"/>
      <c r="AE14" s="86" t="s">
        <v>84</v>
      </c>
      <c r="AF14" s="86" t="s">
        <v>83</v>
      </c>
      <c r="AG14" s="86"/>
      <c r="AH14" s="90"/>
      <c r="AI14" s="90"/>
      <c r="AJ14" s="90"/>
      <c r="AK14" s="90"/>
      <c r="AL14" s="90">
        <v>0</v>
      </c>
      <c r="AM14" s="90">
        <v>0</v>
      </c>
      <c r="AN14" s="90">
        <v>0</v>
      </c>
      <c r="AO14" s="90">
        <v>0</v>
      </c>
      <c r="AP14" s="90">
        <v>0</v>
      </c>
      <c r="AQ14" s="90">
        <v>115.4</v>
      </c>
      <c r="AR14" s="90">
        <v>0</v>
      </c>
      <c r="AS14" s="90">
        <v>0</v>
      </c>
      <c r="AT14" s="90">
        <v>0</v>
      </c>
      <c r="AU14" s="90">
        <v>0</v>
      </c>
      <c r="AV14" s="90">
        <v>0</v>
      </c>
      <c r="AW14" s="90">
        <v>0</v>
      </c>
      <c r="AX14" s="90"/>
      <c r="AY14" s="91">
        <f t="shared" si="1"/>
        <v>115.4</v>
      </c>
      <c r="AZ14" s="91">
        <v>200</v>
      </c>
      <c r="BA14" s="91">
        <v>200</v>
      </c>
      <c r="BB14" s="92"/>
    </row>
    <row r="15" spans="1:54" x14ac:dyDescent="0.3">
      <c r="A15" s="50"/>
      <c r="B15" s="50"/>
      <c r="C15" s="50"/>
      <c r="D15" s="50"/>
      <c r="E15" s="50" t="s">
        <v>84</v>
      </c>
      <c r="F15" s="50"/>
      <c r="G15" s="50"/>
      <c r="H15" s="51">
        <f t="shared" ref="H15:P15" si="2">ROUND(SUM(H4:H14),5)</f>
        <v>0</v>
      </c>
      <c r="I15" s="51">
        <f t="shared" si="2"/>
        <v>1801.7</v>
      </c>
      <c r="J15" s="51">
        <f t="shared" si="2"/>
        <v>0</v>
      </c>
      <c r="K15" s="51">
        <f t="shared" si="2"/>
        <v>38750.339999999997</v>
      </c>
      <c r="L15" s="51">
        <f t="shared" si="2"/>
        <v>-1558.69</v>
      </c>
      <c r="M15" s="51">
        <f t="shared" si="2"/>
        <v>257102.02</v>
      </c>
      <c r="N15" s="51">
        <f t="shared" si="2"/>
        <v>170796.06</v>
      </c>
      <c r="O15" s="51">
        <f t="shared" si="2"/>
        <v>14354.16</v>
      </c>
      <c r="P15" s="51">
        <f t="shared" si="2"/>
        <v>5586.23</v>
      </c>
      <c r="Q15" s="51">
        <f>ROUND(SUM(Q4:Q14),5)</f>
        <v>69317.960000000006</v>
      </c>
      <c r="R15" s="51">
        <f>ROUND(SUM(R4:R14),5)</f>
        <v>264960.24</v>
      </c>
      <c r="S15" s="51">
        <f>ROUND(SUM(S4:S14),5)</f>
        <v>20943.740000000002</v>
      </c>
      <c r="T15" s="51"/>
      <c r="U15" s="51">
        <f t="shared" si="0"/>
        <v>842053.76</v>
      </c>
      <c r="V15" s="51">
        <f>ROUND(SUM(V4:V14),5)</f>
        <v>766800</v>
      </c>
      <c r="W15" s="51">
        <f>ROUND(SUM(W4:W14),5)</f>
        <v>800000</v>
      </c>
      <c r="X15" s="68" t="s">
        <v>304</v>
      </c>
      <c r="AB15" s="86"/>
      <c r="AC15" s="86"/>
      <c r="AD15" s="86"/>
      <c r="AE15" s="86" t="s">
        <v>85</v>
      </c>
      <c r="AF15" s="86"/>
      <c r="AG15" s="86"/>
      <c r="AH15" s="87"/>
      <c r="AI15" s="87"/>
      <c r="AJ15" s="87"/>
      <c r="AK15" s="87"/>
      <c r="AL15" s="87">
        <f t="shared" ref="AL15:AW15" si="3">ROUND(SUM(AL4:AL14),5)</f>
        <v>-4000.33</v>
      </c>
      <c r="AM15" s="87">
        <f t="shared" si="3"/>
        <v>0</v>
      </c>
      <c r="AN15" s="87">
        <f t="shared" si="3"/>
        <v>0</v>
      </c>
      <c r="AO15" s="87">
        <f t="shared" si="3"/>
        <v>30288.21</v>
      </c>
      <c r="AP15" s="87">
        <f t="shared" si="3"/>
        <v>0</v>
      </c>
      <c r="AQ15" s="87">
        <f t="shared" si="3"/>
        <v>199846.88</v>
      </c>
      <c r="AR15" s="87">
        <f t="shared" si="3"/>
        <v>212947.13</v>
      </c>
      <c r="AS15" s="87">
        <f t="shared" si="3"/>
        <v>3095.51</v>
      </c>
      <c r="AT15" s="87">
        <f t="shared" si="3"/>
        <v>2929.92</v>
      </c>
      <c r="AU15" s="87">
        <f t="shared" si="3"/>
        <v>66007.55</v>
      </c>
      <c r="AV15" s="87">
        <f t="shared" si="3"/>
        <v>200776.27</v>
      </c>
      <c r="AW15" s="87">
        <f t="shared" si="3"/>
        <v>75196.509999999995</v>
      </c>
      <c r="AX15" s="87"/>
      <c r="AY15" s="88">
        <f t="shared" si="1"/>
        <v>787087.65</v>
      </c>
      <c r="AZ15" s="88">
        <f>ROUND(SUM(AZ4:AZ14),5)</f>
        <v>720000</v>
      </c>
      <c r="BA15" s="88">
        <f>ROUND(SUM(BA4:BA14),5)</f>
        <v>766800</v>
      </c>
      <c r="BB15" s="89"/>
    </row>
    <row r="16" spans="1:54" x14ac:dyDescent="0.3">
      <c r="A16" s="50"/>
      <c r="B16" s="50"/>
      <c r="C16" s="50"/>
      <c r="D16" s="50"/>
      <c r="E16" s="50" t="s">
        <v>85</v>
      </c>
      <c r="F16" s="50"/>
      <c r="G16" s="50"/>
      <c r="H16" s="51"/>
      <c r="I16" s="51"/>
      <c r="J16" s="51"/>
      <c r="K16" s="51"/>
      <c r="L16" s="51"/>
      <c r="M16" s="51"/>
      <c r="N16" s="51"/>
      <c r="O16" s="51"/>
      <c r="P16" s="51"/>
      <c r="Q16" s="51"/>
      <c r="R16" s="51"/>
      <c r="S16" s="51"/>
      <c r="T16" s="51"/>
      <c r="U16" s="51"/>
      <c r="V16" s="51"/>
      <c r="W16" s="51"/>
      <c r="AB16" s="86"/>
      <c r="AC16" s="86"/>
      <c r="AD16" s="86"/>
      <c r="AE16" s="86"/>
      <c r="AF16" s="86"/>
      <c r="AG16" s="86"/>
      <c r="AH16" s="87"/>
      <c r="AI16" s="87"/>
      <c r="AJ16" s="87"/>
      <c r="AK16" s="87"/>
      <c r="AL16" s="87"/>
      <c r="AM16" s="87"/>
      <c r="AN16" s="87"/>
      <c r="AO16" s="87"/>
      <c r="AP16" s="87"/>
      <c r="AQ16" s="87"/>
      <c r="AR16" s="87"/>
      <c r="AS16" s="87"/>
      <c r="AT16" s="87"/>
      <c r="AU16" s="87"/>
      <c r="AV16" s="87"/>
      <c r="AW16" s="87"/>
      <c r="AX16" s="87"/>
      <c r="AY16" s="88"/>
      <c r="AZ16" s="88"/>
      <c r="BA16" s="88"/>
      <c r="BB16" s="89"/>
    </row>
    <row r="17" spans="1:54" x14ac:dyDescent="0.3">
      <c r="A17" s="50"/>
      <c r="B17" s="50"/>
      <c r="C17" s="50"/>
      <c r="D17" s="50"/>
      <c r="E17" s="50"/>
      <c r="F17" s="50" t="s">
        <v>86</v>
      </c>
      <c r="G17" s="50"/>
      <c r="H17" s="51">
        <v>518.41</v>
      </c>
      <c r="I17" s="51">
        <v>535.54999999999995</v>
      </c>
      <c r="J17" s="51">
        <v>500.23</v>
      </c>
      <c r="K17" s="51">
        <v>420.94</v>
      </c>
      <c r="L17" s="51">
        <v>405.16</v>
      </c>
      <c r="M17" s="51">
        <v>400.79</v>
      </c>
      <c r="N17" s="51">
        <v>586.54</v>
      </c>
      <c r="O17" s="51">
        <v>488.6</v>
      </c>
      <c r="P17" s="51">
        <v>447.88</v>
      </c>
      <c r="Q17" s="51">
        <v>638.1</v>
      </c>
      <c r="R17" s="51">
        <v>748.83</v>
      </c>
      <c r="S17" s="51">
        <v>432.04</v>
      </c>
      <c r="T17" s="51"/>
      <c r="U17" s="51">
        <f t="shared" ref="U17:U22" si="4">ROUND(SUM(H17:T17),5)</f>
        <v>6123.07</v>
      </c>
      <c r="V17" s="67">
        <v>10000</v>
      </c>
      <c r="W17" s="67">
        <v>5000</v>
      </c>
      <c r="X17" s="68" t="s">
        <v>292</v>
      </c>
      <c r="AB17" s="86"/>
      <c r="AC17" s="86"/>
      <c r="AD17" s="86"/>
      <c r="AE17" s="86"/>
      <c r="AF17" s="86" t="s">
        <v>86</v>
      </c>
      <c r="AG17" s="86"/>
      <c r="AH17" s="87"/>
      <c r="AI17" s="87"/>
      <c r="AJ17" s="87"/>
      <c r="AK17" s="87"/>
      <c r="AL17" s="87">
        <v>603.74</v>
      </c>
      <c r="AM17" s="87">
        <v>636.47</v>
      </c>
      <c r="AN17" s="87">
        <v>550.29999999999995</v>
      </c>
      <c r="AO17" s="87">
        <v>512.91999999999996</v>
      </c>
      <c r="AP17" s="87">
        <v>505.03</v>
      </c>
      <c r="AQ17" s="87">
        <v>452.33</v>
      </c>
      <c r="AR17" s="87">
        <v>7314.37</v>
      </c>
      <c r="AS17" s="87">
        <v>420.5</v>
      </c>
      <c r="AT17" s="87">
        <v>378.15</v>
      </c>
      <c r="AU17" s="87">
        <v>381.98</v>
      </c>
      <c r="AV17" s="87">
        <v>954.87</v>
      </c>
      <c r="AW17" s="87">
        <v>652.66</v>
      </c>
      <c r="AX17" s="87"/>
      <c r="AY17" s="88">
        <f t="shared" ref="AY17:AY22" si="5">ROUND(SUM(AH17:AX17),5)</f>
        <v>13363.32</v>
      </c>
      <c r="AZ17" s="88">
        <v>4000</v>
      </c>
      <c r="BA17" s="88">
        <v>10000</v>
      </c>
      <c r="BB17" s="89" t="s">
        <v>247</v>
      </c>
    </row>
    <row r="18" spans="1:54" x14ac:dyDescent="0.3">
      <c r="A18" s="50"/>
      <c r="B18" s="50"/>
      <c r="C18" s="50"/>
      <c r="D18" s="50"/>
      <c r="E18" s="50"/>
      <c r="F18" s="50" t="s">
        <v>87</v>
      </c>
      <c r="G18" s="50"/>
      <c r="H18" s="51">
        <v>16526.73</v>
      </c>
      <c r="I18" s="51">
        <v>5579.79</v>
      </c>
      <c r="J18" s="51">
        <v>5481.74</v>
      </c>
      <c r="K18" s="51">
        <v>5047.42</v>
      </c>
      <c r="L18" s="51">
        <v>6660.43</v>
      </c>
      <c r="M18" s="51">
        <v>5928.96</v>
      </c>
      <c r="N18" s="51">
        <v>5063.93</v>
      </c>
      <c r="O18" s="51">
        <v>6238.12</v>
      </c>
      <c r="P18" s="51">
        <v>8630.35</v>
      </c>
      <c r="Q18" s="51">
        <v>3905.15</v>
      </c>
      <c r="R18" s="51">
        <v>7105.54</v>
      </c>
      <c r="S18" s="51">
        <v>0</v>
      </c>
      <c r="T18" s="51"/>
      <c r="U18" s="51">
        <f t="shared" si="4"/>
        <v>76168.160000000003</v>
      </c>
      <c r="V18" s="67">
        <v>50000</v>
      </c>
      <c r="W18" s="67">
        <f>70000-1100</f>
        <v>68900</v>
      </c>
      <c r="X18" s="68" t="s">
        <v>293</v>
      </c>
      <c r="AB18" s="86"/>
      <c r="AC18" s="86"/>
      <c r="AD18" s="86"/>
      <c r="AE18" s="86"/>
      <c r="AF18" s="86" t="s">
        <v>87</v>
      </c>
      <c r="AG18" s="86"/>
      <c r="AH18" s="87"/>
      <c r="AI18" s="87"/>
      <c r="AJ18" s="87"/>
      <c r="AK18" s="87"/>
      <c r="AL18" s="87">
        <v>4709.55</v>
      </c>
      <c r="AM18" s="87">
        <v>9565.7900000000009</v>
      </c>
      <c r="AN18" s="87">
        <v>-941.62</v>
      </c>
      <c r="AO18" s="87">
        <v>8144.95</v>
      </c>
      <c r="AP18" s="87">
        <v>6079.05</v>
      </c>
      <c r="AQ18" s="87">
        <v>4930.87</v>
      </c>
      <c r="AR18" s="87">
        <v>4937.05</v>
      </c>
      <c r="AS18" s="87">
        <v>4807.21</v>
      </c>
      <c r="AT18" s="87">
        <v>4995.72</v>
      </c>
      <c r="AU18" s="87">
        <v>6212.36</v>
      </c>
      <c r="AV18" s="87">
        <v>5047.13</v>
      </c>
      <c r="AW18" s="87">
        <v>5522.27</v>
      </c>
      <c r="AX18" s="87"/>
      <c r="AY18" s="88">
        <f t="shared" si="5"/>
        <v>64010.33</v>
      </c>
      <c r="AZ18" s="88">
        <v>40000</v>
      </c>
      <c r="BA18" s="88">
        <v>50000</v>
      </c>
      <c r="BB18" s="89"/>
    </row>
    <row r="19" spans="1:54" x14ac:dyDescent="0.3">
      <c r="A19" s="50"/>
      <c r="B19" s="50"/>
      <c r="C19" s="50"/>
      <c r="D19" s="50"/>
      <c r="E19" s="50"/>
      <c r="F19" s="50" t="s">
        <v>88</v>
      </c>
      <c r="G19" s="50"/>
      <c r="H19" s="51">
        <v>0</v>
      </c>
      <c r="I19" s="51">
        <v>0</v>
      </c>
      <c r="J19" s="51">
        <v>526.76</v>
      </c>
      <c r="K19" s="51">
        <v>95.47</v>
      </c>
      <c r="L19" s="51">
        <v>0</v>
      </c>
      <c r="M19" s="51">
        <v>432.49</v>
      </c>
      <c r="N19" s="51">
        <v>60.53</v>
      </c>
      <c r="O19" s="51">
        <v>0</v>
      </c>
      <c r="P19" s="51">
        <v>579.15</v>
      </c>
      <c r="Q19" s="51">
        <v>26.9</v>
      </c>
      <c r="R19" s="51">
        <v>0</v>
      </c>
      <c r="S19" s="51">
        <v>0</v>
      </c>
      <c r="T19" s="51"/>
      <c r="U19" s="51">
        <f t="shared" si="4"/>
        <v>1721.3</v>
      </c>
      <c r="V19" s="67">
        <v>10000</v>
      </c>
      <c r="W19" s="67">
        <v>5000</v>
      </c>
      <c r="AB19" s="86"/>
      <c r="AC19" s="86"/>
      <c r="AD19" s="86"/>
      <c r="AE19" s="86"/>
      <c r="AF19" s="86" t="s">
        <v>88</v>
      </c>
      <c r="AG19" s="86"/>
      <c r="AH19" s="87"/>
      <c r="AI19" s="87"/>
      <c r="AJ19" s="87"/>
      <c r="AK19" s="87"/>
      <c r="AL19" s="87">
        <v>0</v>
      </c>
      <c r="AM19" s="87">
        <v>0</v>
      </c>
      <c r="AN19" s="87">
        <v>2382.91</v>
      </c>
      <c r="AO19" s="87">
        <v>164.98</v>
      </c>
      <c r="AP19" s="87">
        <v>0</v>
      </c>
      <c r="AQ19" s="87">
        <v>1779.4</v>
      </c>
      <c r="AR19" s="87">
        <v>208.6</v>
      </c>
      <c r="AS19" s="87">
        <v>0</v>
      </c>
      <c r="AT19" s="87">
        <v>1194.3699999999999</v>
      </c>
      <c r="AU19" s="87">
        <v>83.37</v>
      </c>
      <c r="AV19" s="87">
        <v>0</v>
      </c>
      <c r="AW19" s="87">
        <v>5126.62</v>
      </c>
      <c r="AX19" s="87"/>
      <c r="AY19" s="88">
        <f t="shared" si="5"/>
        <v>10940.25</v>
      </c>
      <c r="AZ19" s="88">
        <v>13000</v>
      </c>
      <c r="BA19" s="88">
        <v>10000</v>
      </c>
      <c r="BB19" s="89" t="s">
        <v>247</v>
      </c>
    </row>
    <row r="20" spans="1:54" x14ac:dyDescent="0.3">
      <c r="A20" s="50"/>
      <c r="B20" s="50"/>
      <c r="C20" s="50"/>
      <c r="D20" s="50"/>
      <c r="E20" s="50"/>
      <c r="F20" s="50" t="s">
        <v>89</v>
      </c>
      <c r="G20" s="50"/>
      <c r="H20" s="51">
        <v>0</v>
      </c>
      <c r="I20" s="51">
        <v>0</v>
      </c>
      <c r="J20" s="51">
        <v>28.45</v>
      </c>
      <c r="K20" s="51">
        <v>5.08</v>
      </c>
      <c r="L20" s="51">
        <v>0</v>
      </c>
      <c r="M20" s="51">
        <v>23.02</v>
      </c>
      <c r="N20" s="51">
        <v>5.04</v>
      </c>
      <c r="O20" s="51">
        <v>0</v>
      </c>
      <c r="P20" s="51">
        <v>48.23</v>
      </c>
      <c r="Q20" s="51">
        <v>2.2000000000000002</v>
      </c>
      <c r="R20" s="51">
        <v>0</v>
      </c>
      <c r="S20" s="51">
        <v>0</v>
      </c>
      <c r="T20" s="51"/>
      <c r="U20" s="51">
        <f t="shared" si="4"/>
        <v>112.02</v>
      </c>
      <c r="V20" s="67">
        <v>1000</v>
      </c>
      <c r="W20" s="67">
        <v>100</v>
      </c>
      <c r="AB20" s="86"/>
      <c r="AC20" s="86"/>
      <c r="AD20" s="86"/>
      <c r="AE20" s="86"/>
      <c r="AF20" s="86" t="s">
        <v>89</v>
      </c>
      <c r="AG20" s="86"/>
      <c r="AH20" s="87"/>
      <c r="AI20" s="87"/>
      <c r="AJ20" s="87"/>
      <c r="AK20" s="87"/>
      <c r="AL20" s="87">
        <v>-854</v>
      </c>
      <c r="AM20" s="87">
        <v>0</v>
      </c>
      <c r="AN20" s="87">
        <v>541.74</v>
      </c>
      <c r="AO20" s="87">
        <v>38.130000000000003</v>
      </c>
      <c r="AP20" s="87">
        <v>0</v>
      </c>
      <c r="AQ20" s="87">
        <v>411.31</v>
      </c>
      <c r="AR20" s="87">
        <v>53.48</v>
      </c>
      <c r="AS20" s="87">
        <v>0</v>
      </c>
      <c r="AT20" s="87">
        <v>306.22000000000003</v>
      </c>
      <c r="AU20" s="87">
        <v>19.61</v>
      </c>
      <c r="AV20" s="87">
        <v>0</v>
      </c>
      <c r="AW20" s="87">
        <v>816.59</v>
      </c>
      <c r="AX20" s="87"/>
      <c r="AY20" s="88">
        <f t="shared" si="5"/>
        <v>1333.08</v>
      </c>
      <c r="AZ20" s="88">
        <v>3000</v>
      </c>
      <c r="BA20" s="88">
        <v>1000</v>
      </c>
      <c r="BB20" s="89" t="s">
        <v>247</v>
      </c>
    </row>
    <row r="21" spans="1:54" ht="15" thickBot="1" x14ac:dyDescent="0.35">
      <c r="A21" s="50"/>
      <c r="B21" s="50"/>
      <c r="C21" s="50"/>
      <c r="D21" s="50"/>
      <c r="E21" s="50"/>
      <c r="F21" s="50" t="s">
        <v>90</v>
      </c>
      <c r="G21" s="50"/>
      <c r="H21" s="52">
        <v>0</v>
      </c>
      <c r="I21" s="52">
        <v>0</v>
      </c>
      <c r="J21" s="52">
        <v>1831.67</v>
      </c>
      <c r="K21" s="52">
        <v>323.87</v>
      </c>
      <c r="L21" s="52">
        <v>0</v>
      </c>
      <c r="M21" s="52">
        <v>1467.17</v>
      </c>
      <c r="N21" s="52">
        <v>200.19</v>
      </c>
      <c r="O21" s="52">
        <v>0</v>
      </c>
      <c r="P21" s="52">
        <v>0</v>
      </c>
      <c r="Q21" s="52">
        <v>65.45</v>
      </c>
      <c r="R21" s="52">
        <v>0</v>
      </c>
      <c r="S21" s="52">
        <v>2276.58</v>
      </c>
      <c r="T21" s="52"/>
      <c r="U21" s="52">
        <f t="shared" si="4"/>
        <v>6164.93</v>
      </c>
      <c r="V21" s="69">
        <v>20000</v>
      </c>
      <c r="W21" s="69">
        <v>10000</v>
      </c>
      <c r="X21" s="68" t="s">
        <v>291</v>
      </c>
      <c r="AB21" s="86"/>
      <c r="AC21" s="86"/>
      <c r="AD21" s="86"/>
      <c r="AE21" s="86" t="s">
        <v>91</v>
      </c>
      <c r="AF21" s="86" t="s">
        <v>90</v>
      </c>
      <c r="AG21" s="86"/>
      <c r="AH21" s="90"/>
      <c r="AI21" s="90"/>
      <c r="AJ21" s="90"/>
      <c r="AK21" s="90"/>
      <c r="AL21" s="90">
        <v>-126</v>
      </c>
      <c r="AM21" s="90">
        <v>0</v>
      </c>
      <c r="AN21" s="90">
        <v>3663.49</v>
      </c>
      <c r="AO21" s="90">
        <v>240.94</v>
      </c>
      <c r="AP21" s="90">
        <v>0</v>
      </c>
      <c r="AQ21" s="90">
        <v>2598.63</v>
      </c>
      <c r="AR21" s="90">
        <v>304.14999999999998</v>
      </c>
      <c r="AS21" s="90">
        <v>0</v>
      </c>
      <c r="AT21" s="90">
        <v>1741.43</v>
      </c>
      <c r="AU21" s="90">
        <v>99.78</v>
      </c>
      <c r="AV21" s="90">
        <v>0</v>
      </c>
      <c r="AW21" s="90">
        <v>6128.28</v>
      </c>
      <c r="AX21" s="90"/>
      <c r="AY21" s="91">
        <f t="shared" si="5"/>
        <v>14650.7</v>
      </c>
      <c r="AZ21" s="91">
        <v>30000</v>
      </c>
      <c r="BA21" s="91">
        <v>20000</v>
      </c>
      <c r="BB21" s="92" t="s">
        <v>247</v>
      </c>
    </row>
    <row r="22" spans="1:54" x14ac:dyDescent="0.3">
      <c r="A22" s="50"/>
      <c r="B22" s="50"/>
      <c r="C22" s="50"/>
      <c r="D22" s="50"/>
      <c r="E22" s="50" t="s">
        <v>91</v>
      </c>
      <c r="F22" s="50"/>
      <c r="G22" s="50"/>
      <c r="H22" s="51">
        <f t="shared" ref="H22:P22" si="6">ROUND(SUM(H16:H21),5)</f>
        <v>17045.14</v>
      </c>
      <c r="I22" s="51">
        <f t="shared" si="6"/>
        <v>6115.34</v>
      </c>
      <c r="J22" s="51">
        <f t="shared" si="6"/>
        <v>8368.85</v>
      </c>
      <c r="K22" s="51">
        <f t="shared" si="6"/>
        <v>5892.78</v>
      </c>
      <c r="L22" s="51">
        <f t="shared" si="6"/>
        <v>7065.59</v>
      </c>
      <c r="M22" s="51">
        <f t="shared" si="6"/>
        <v>8252.43</v>
      </c>
      <c r="N22" s="51">
        <f t="shared" si="6"/>
        <v>5916.23</v>
      </c>
      <c r="O22" s="51">
        <f t="shared" si="6"/>
        <v>6726.72</v>
      </c>
      <c r="P22" s="51">
        <f t="shared" si="6"/>
        <v>9705.61</v>
      </c>
      <c r="Q22" s="51">
        <f>ROUND(SUM(Q16:Q21),5)</f>
        <v>4637.8</v>
      </c>
      <c r="R22" s="51">
        <f>ROUND(SUM(R16:R21),5)</f>
        <v>7854.37</v>
      </c>
      <c r="S22" s="51">
        <f>ROUND(SUM(S16:S21),5)</f>
        <v>2708.62</v>
      </c>
      <c r="T22" s="51"/>
      <c r="U22" s="51">
        <f t="shared" si="4"/>
        <v>90289.48</v>
      </c>
      <c r="V22" s="51">
        <f>ROUND(SUM(V16:V21),5)</f>
        <v>91000</v>
      </c>
      <c r="W22" s="51">
        <f>ROUND(SUM(W16:W21),5)</f>
        <v>89000</v>
      </c>
      <c r="AB22" s="86"/>
      <c r="AC22" s="86"/>
      <c r="AD22" s="86"/>
      <c r="AE22" s="86" t="s">
        <v>92</v>
      </c>
      <c r="AF22" s="86"/>
      <c r="AG22" s="86"/>
      <c r="AH22" s="87"/>
      <c r="AI22" s="87"/>
      <c r="AJ22" s="87"/>
      <c r="AK22" s="87"/>
      <c r="AL22" s="87">
        <f t="shared" ref="AL22:AW22" si="7">ROUND(SUM(AL16:AL21),5)</f>
        <v>4333.29</v>
      </c>
      <c r="AM22" s="87">
        <f t="shared" si="7"/>
        <v>10202.26</v>
      </c>
      <c r="AN22" s="87">
        <f t="shared" si="7"/>
        <v>6196.82</v>
      </c>
      <c r="AO22" s="87">
        <f t="shared" si="7"/>
        <v>9101.92</v>
      </c>
      <c r="AP22" s="87">
        <f t="shared" si="7"/>
        <v>6584.08</v>
      </c>
      <c r="AQ22" s="87">
        <f t="shared" si="7"/>
        <v>10172.540000000001</v>
      </c>
      <c r="AR22" s="87">
        <f t="shared" si="7"/>
        <v>12817.65</v>
      </c>
      <c r="AS22" s="87">
        <f t="shared" si="7"/>
        <v>5227.71</v>
      </c>
      <c r="AT22" s="87">
        <f t="shared" si="7"/>
        <v>8615.89</v>
      </c>
      <c r="AU22" s="87">
        <f t="shared" si="7"/>
        <v>6797.1</v>
      </c>
      <c r="AV22" s="87">
        <f t="shared" si="7"/>
        <v>6002</v>
      </c>
      <c r="AW22" s="87">
        <f t="shared" si="7"/>
        <v>18246.419999999998</v>
      </c>
      <c r="AX22" s="87"/>
      <c r="AY22" s="88">
        <f t="shared" si="5"/>
        <v>104297.68</v>
      </c>
      <c r="AZ22" s="88">
        <f>ROUND(SUM(AZ16:AZ21),5)</f>
        <v>90000</v>
      </c>
      <c r="BA22" s="88">
        <f>ROUND(SUM(BA16:BA21),5)</f>
        <v>91000</v>
      </c>
      <c r="BB22" s="89"/>
    </row>
    <row r="23" spans="1:54" x14ac:dyDescent="0.3">
      <c r="A23" s="50"/>
      <c r="B23" s="50"/>
      <c r="C23" s="50"/>
      <c r="D23" s="50"/>
      <c r="E23" s="50" t="s">
        <v>92</v>
      </c>
      <c r="F23" s="50"/>
      <c r="G23" s="50"/>
      <c r="H23" s="51"/>
      <c r="I23" s="51"/>
      <c r="J23" s="51"/>
      <c r="K23" s="51"/>
      <c r="L23" s="51"/>
      <c r="M23" s="51"/>
      <c r="N23" s="51"/>
      <c r="O23" s="51"/>
      <c r="P23" s="51"/>
      <c r="Q23" s="51"/>
      <c r="R23" s="51"/>
      <c r="S23" s="51"/>
      <c r="T23" s="51"/>
      <c r="U23" s="51"/>
      <c r="V23" s="51"/>
      <c r="W23" s="51"/>
      <c r="AB23" s="86"/>
      <c r="AC23" s="86"/>
      <c r="AD23" s="86"/>
      <c r="AE23" s="86"/>
      <c r="AF23" s="86"/>
      <c r="AG23" s="86"/>
      <c r="AH23" s="87"/>
      <c r="AI23" s="87"/>
      <c r="AJ23" s="87"/>
      <c r="AK23" s="87"/>
      <c r="AL23" s="87"/>
      <c r="AM23" s="87"/>
      <c r="AN23" s="87"/>
      <c r="AO23" s="87"/>
      <c r="AP23" s="87"/>
      <c r="AQ23" s="87"/>
      <c r="AR23" s="87"/>
      <c r="AS23" s="87"/>
      <c r="AT23" s="87"/>
      <c r="AU23" s="87"/>
      <c r="AV23" s="87"/>
      <c r="AW23" s="87"/>
      <c r="AX23" s="87"/>
      <c r="AY23" s="88"/>
      <c r="AZ23" s="88"/>
      <c r="BA23" s="88"/>
      <c r="BB23" s="89"/>
    </row>
    <row r="24" spans="1:54" x14ac:dyDescent="0.3">
      <c r="A24" s="50"/>
      <c r="B24" s="50"/>
      <c r="C24" s="50"/>
      <c r="D24" s="50"/>
      <c r="E24" s="50"/>
      <c r="F24" s="50" t="s">
        <v>93</v>
      </c>
      <c r="G24" s="50"/>
      <c r="H24" s="51">
        <v>13100</v>
      </c>
      <c r="I24" s="51">
        <v>5230</v>
      </c>
      <c r="J24" s="51">
        <v>30592</v>
      </c>
      <c r="K24" s="51">
        <v>22305</v>
      </c>
      <c r="L24" s="51">
        <v>6000</v>
      </c>
      <c r="M24" s="51">
        <v>8400</v>
      </c>
      <c r="N24" s="51">
        <v>14960</v>
      </c>
      <c r="O24" s="51">
        <v>23490</v>
      </c>
      <c r="P24" s="51">
        <v>22920</v>
      </c>
      <c r="Q24" s="51">
        <v>9150</v>
      </c>
      <c r="R24" s="51">
        <v>850</v>
      </c>
      <c r="S24" s="51">
        <f>12370.66-7000</f>
        <v>5370.66</v>
      </c>
      <c r="T24" s="51"/>
      <c r="U24" s="51">
        <f t="shared" ref="U24:U35" si="8">ROUND(SUM(H24:T24),5)</f>
        <v>162367.66</v>
      </c>
      <c r="V24" s="67">
        <v>165000</v>
      </c>
      <c r="W24" s="67">
        <f>165000-20000</f>
        <v>145000</v>
      </c>
      <c r="AB24" s="86"/>
      <c r="AC24" s="86"/>
      <c r="AD24" s="86"/>
      <c r="AE24" s="86"/>
      <c r="AF24" s="86" t="s">
        <v>93</v>
      </c>
      <c r="AG24" s="86"/>
      <c r="AH24" s="87"/>
      <c r="AI24" s="87"/>
      <c r="AJ24" s="87"/>
      <c r="AK24" s="87"/>
      <c r="AL24" s="87">
        <v>8225</v>
      </c>
      <c r="AM24" s="87">
        <v>10866.67</v>
      </c>
      <c r="AN24" s="87">
        <v>9500</v>
      </c>
      <c r="AO24" s="87">
        <v>25066.67</v>
      </c>
      <c r="AP24" s="87">
        <v>7800</v>
      </c>
      <c r="AQ24" s="87">
        <v>20950</v>
      </c>
      <c r="AR24" s="87">
        <v>19000</v>
      </c>
      <c r="AS24" s="87">
        <v>24450</v>
      </c>
      <c r="AT24" s="87">
        <v>22500</v>
      </c>
      <c r="AU24" s="87">
        <v>12325</v>
      </c>
      <c r="AV24" s="87">
        <v>5000</v>
      </c>
      <c r="AW24" s="87">
        <v>10643</v>
      </c>
      <c r="AX24" s="87"/>
      <c r="AY24" s="88">
        <f t="shared" ref="AY24:AY35" si="9">ROUND(SUM(AH24:AX24),5)</f>
        <v>176326.34</v>
      </c>
      <c r="AZ24" s="88">
        <v>120000</v>
      </c>
      <c r="BA24" s="88">
        <v>165000</v>
      </c>
      <c r="BB24" s="89" t="s">
        <v>247</v>
      </c>
    </row>
    <row r="25" spans="1:54" x14ac:dyDescent="0.3">
      <c r="A25" s="50"/>
      <c r="B25" s="50"/>
      <c r="C25" s="50"/>
      <c r="D25" s="50"/>
      <c r="E25" s="50"/>
      <c r="F25" s="50" t="s">
        <v>94</v>
      </c>
      <c r="G25" s="50"/>
      <c r="H25" s="51">
        <v>3300</v>
      </c>
      <c r="I25" s="51">
        <v>500</v>
      </c>
      <c r="J25" s="51">
        <v>3000</v>
      </c>
      <c r="K25" s="51">
        <v>1250</v>
      </c>
      <c r="L25" s="51">
        <v>1250</v>
      </c>
      <c r="M25" s="51">
        <v>1500</v>
      </c>
      <c r="N25" s="51">
        <v>1700</v>
      </c>
      <c r="O25" s="51">
        <v>1750</v>
      </c>
      <c r="P25" s="51">
        <v>1860</v>
      </c>
      <c r="Q25" s="51">
        <v>1800</v>
      </c>
      <c r="R25" s="51">
        <v>250</v>
      </c>
      <c r="S25" s="51">
        <v>1650</v>
      </c>
      <c r="T25" s="51"/>
      <c r="U25" s="51">
        <f t="shared" si="8"/>
        <v>19810</v>
      </c>
      <c r="V25" s="67">
        <v>18000</v>
      </c>
      <c r="W25" s="67">
        <v>18000</v>
      </c>
      <c r="AB25" s="86"/>
      <c r="AC25" s="86"/>
      <c r="AD25" s="86"/>
      <c r="AE25" s="86"/>
      <c r="AF25" s="86" t="s">
        <v>94</v>
      </c>
      <c r="AG25" s="86"/>
      <c r="AH25" s="87"/>
      <c r="AI25" s="87"/>
      <c r="AJ25" s="87"/>
      <c r="AK25" s="87"/>
      <c r="AL25" s="87">
        <v>1200</v>
      </c>
      <c r="AM25" s="87">
        <v>1410</v>
      </c>
      <c r="AN25" s="87">
        <v>1250</v>
      </c>
      <c r="AO25" s="87">
        <v>2500</v>
      </c>
      <c r="AP25" s="87">
        <v>500</v>
      </c>
      <c r="AQ25" s="87">
        <v>2000</v>
      </c>
      <c r="AR25" s="87">
        <v>1250</v>
      </c>
      <c r="AS25" s="87">
        <v>1910</v>
      </c>
      <c r="AT25" s="87">
        <v>2500</v>
      </c>
      <c r="AU25" s="87">
        <v>1450</v>
      </c>
      <c r="AV25" s="87">
        <v>1250</v>
      </c>
      <c r="AW25" s="87">
        <v>750</v>
      </c>
      <c r="AX25" s="87"/>
      <c r="AY25" s="88">
        <f t="shared" si="9"/>
        <v>17970</v>
      </c>
      <c r="AZ25" s="88">
        <v>12000</v>
      </c>
      <c r="BA25" s="88">
        <v>18000</v>
      </c>
      <c r="BB25" s="89"/>
    </row>
    <row r="26" spans="1:54" x14ac:dyDescent="0.3">
      <c r="A26" s="50"/>
      <c r="B26" s="50"/>
      <c r="C26" s="50"/>
      <c r="D26" s="50"/>
      <c r="E26" s="50"/>
      <c r="F26" s="50" t="s">
        <v>230</v>
      </c>
      <c r="G26" s="50"/>
      <c r="H26" s="51">
        <v>0</v>
      </c>
      <c r="I26" s="51">
        <v>230</v>
      </c>
      <c r="J26" s="51">
        <v>892</v>
      </c>
      <c r="K26" s="51">
        <v>690</v>
      </c>
      <c r="L26" s="51">
        <v>0</v>
      </c>
      <c r="M26" s="51">
        <v>460</v>
      </c>
      <c r="N26" s="51">
        <v>460</v>
      </c>
      <c r="O26" s="51">
        <v>690</v>
      </c>
      <c r="P26" s="51">
        <v>920</v>
      </c>
      <c r="Q26" s="51">
        <v>230</v>
      </c>
      <c r="R26" s="51">
        <v>0</v>
      </c>
      <c r="S26" s="51">
        <v>455</v>
      </c>
      <c r="T26" s="51"/>
      <c r="U26" s="51">
        <f t="shared" si="8"/>
        <v>5027</v>
      </c>
      <c r="V26" s="67">
        <v>3000</v>
      </c>
      <c r="W26" s="67">
        <v>3000</v>
      </c>
      <c r="AB26" s="86"/>
      <c r="AC26" s="86"/>
      <c r="AD26" s="86"/>
      <c r="AE26" s="86"/>
      <c r="AF26" s="86" t="s">
        <v>230</v>
      </c>
      <c r="AG26" s="86"/>
      <c r="AH26" s="87"/>
      <c r="AI26" s="87"/>
      <c r="AJ26" s="87"/>
      <c r="AK26" s="87"/>
      <c r="AL26" s="87">
        <v>0</v>
      </c>
      <c r="AM26" s="87">
        <v>0</v>
      </c>
      <c r="AN26" s="87">
        <v>0</v>
      </c>
      <c r="AO26" s="87">
        <v>0</v>
      </c>
      <c r="AP26" s="87">
        <v>0</v>
      </c>
      <c r="AQ26" s="87">
        <v>450</v>
      </c>
      <c r="AR26" s="87">
        <v>0</v>
      </c>
      <c r="AS26" s="87">
        <v>450</v>
      </c>
      <c r="AT26" s="87">
        <v>0</v>
      </c>
      <c r="AU26" s="87">
        <v>225</v>
      </c>
      <c r="AV26" s="87">
        <v>0</v>
      </c>
      <c r="AW26" s="87">
        <v>0</v>
      </c>
      <c r="AX26" s="87"/>
      <c r="AY26" s="88">
        <f t="shared" si="9"/>
        <v>1125</v>
      </c>
      <c r="AZ26" s="88">
        <v>0</v>
      </c>
      <c r="BA26" s="88">
        <v>3000</v>
      </c>
      <c r="BB26" s="89"/>
    </row>
    <row r="27" spans="1:54" x14ac:dyDescent="0.3">
      <c r="A27" s="50"/>
      <c r="B27" s="50"/>
      <c r="C27" s="50"/>
      <c r="D27" s="50"/>
      <c r="E27" s="50"/>
      <c r="F27" s="50" t="s">
        <v>95</v>
      </c>
      <c r="G27" s="50"/>
      <c r="H27" s="51">
        <v>3750</v>
      </c>
      <c r="I27" s="51">
        <v>1950</v>
      </c>
      <c r="J27" s="51">
        <v>8750</v>
      </c>
      <c r="K27" s="51">
        <v>4300</v>
      </c>
      <c r="L27" s="51">
        <v>1800</v>
      </c>
      <c r="M27" s="51">
        <v>4700</v>
      </c>
      <c r="N27" s="51">
        <v>5300</v>
      </c>
      <c r="O27" s="51">
        <v>3600</v>
      </c>
      <c r="P27" s="51">
        <v>7600</v>
      </c>
      <c r="Q27" s="51">
        <v>6250</v>
      </c>
      <c r="R27" s="51">
        <v>1000</v>
      </c>
      <c r="S27" s="51">
        <f>6100-4000</f>
        <v>2100</v>
      </c>
      <c r="T27" s="51"/>
      <c r="U27" s="51">
        <f t="shared" si="8"/>
        <v>51100</v>
      </c>
      <c r="V27" s="67">
        <v>47000</v>
      </c>
      <c r="W27" s="67">
        <f>47000-10000</f>
        <v>37000</v>
      </c>
      <c r="AB27" s="86"/>
      <c r="AC27" s="86"/>
      <c r="AD27" s="86"/>
      <c r="AE27" s="86"/>
      <c r="AF27" s="86" t="s">
        <v>95</v>
      </c>
      <c r="AG27" s="86"/>
      <c r="AH27" s="87"/>
      <c r="AI27" s="87"/>
      <c r="AJ27" s="87"/>
      <c r="AK27" s="87"/>
      <c r="AL27" s="87">
        <v>3650</v>
      </c>
      <c r="AM27" s="87">
        <v>3250</v>
      </c>
      <c r="AN27" s="87">
        <v>2800</v>
      </c>
      <c r="AO27" s="87">
        <v>6100</v>
      </c>
      <c r="AP27" s="87">
        <v>100</v>
      </c>
      <c r="AQ27" s="87">
        <v>4900</v>
      </c>
      <c r="AR27" s="87">
        <v>3500</v>
      </c>
      <c r="AS27" s="87">
        <v>7650</v>
      </c>
      <c r="AT27" s="87">
        <v>8000</v>
      </c>
      <c r="AU27" s="87">
        <v>3700</v>
      </c>
      <c r="AV27" s="87">
        <v>5150</v>
      </c>
      <c r="AW27" s="87">
        <v>2550</v>
      </c>
      <c r="AX27" s="87"/>
      <c r="AY27" s="88">
        <f t="shared" si="9"/>
        <v>51350</v>
      </c>
      <c r="AZ27" s="88">
        <v>30000</v>
      </c>
      <c r="BA27" s="88">
        <v>47000</v>
      </c>
      <c r="BB27" s="89"/>
    </row>
    <row r="28" spans="1:54" x14ac:dyDescent="0.3">
      <c r="A28" s="50"/>
      <c r="B28" s="50"/>
      <c r="C28" s="50"/>
      <c r="D28" s="50"/>
      <c r="E28" s="50"/>
      <c r="F28" s="50" t="s">
        <v>96</v>
      </c>
      <c r="G28" s="50"/>
      <c r="H28" s="51">
        <v>20500</v>
      </c>
      <c r="I28" s="51">
        <v>3770</v>
      </c>
      <c r="J28" s="51">
        <v>21408</v>
      </c>
      <c r="K28" s="51">
        <v>-505</v>
      </c>
      <c r="L28" s="51">
        <v>10500</v>
      </c>
      <c r="M28" s="51">
        <v>6000</v>
      </c>
      <c r="N28" s="51">
        <v>10690</v>
      </c>
      <c r="O28" s="51">
        <v>-990</v>
      </c>
      <c r="P28" s="51">
        <v>13230</v>
      </c>
      <c r="Q28" s="51">
        <v>4000</v>
      </c>
      <c r="R28" s="51">
        <v>800</v>
      </c>
      <c r="S28" s="51">
        <f>9282-3737.66</f>
        <v>5544.34</v>
      </c>
      <c r="T28" s="51"/>
      <c r="U28" s="51">
        <f t="shared" si="8"/>
        <v>94947.34</v>
      </c>
      <c r="V28" s="67">
        <v>70000</v>
      </c>
      <c r="W28" s="67">
        <f>70000-13200</f>
        <v>56800</v>
      </c>
      <c r="AB28" s="86"/>
      <c r="AC28" s="86"/>
      <c r="AD28" s="86"/>
      <c r="AE28" s="86"/>
      <c r="AF28" s="86" t="s">
        <v>96</v>
      </c>
      <c r="AG28" s="86"/>
      <c r="AH28" s="87"/>
      <c r="AI28" s="87"/>
      <c r="AJ28" s="87"/>
      <c r="AK28" s="87"/>
      <c r="AL28" s="87">
        <v>2500</v>
      </c>
      <c r="AM28" s="87">
        <v>6083.33</v>
      </c>
      <c r="AN28" s="87">
        <v>16450</v>
      </c>
      <c r="AO28" s="87">
        <v>17583.330000000002</v>
      </c>
      <c r="AP28" s="87">
        <v>0</v>
      </c>
      <c r="AQ28" s="87">
        <v>3050</v>
      </c>
      <c r="AR28" s="87">
        <v>4000</v>
      </c>
      <c r="AS28" s="87">
        <v>9050</v>
      </c>
      <c r="AT28" s="87">
        <v>16650</v>
      </c>
      <c r="AU28" s="87">
        <v>2675</v>
      </c>
      <c r="AV28" s="87">
        <v>1725</v>
      </c>
      <c r="AW28" s="87">
        <v>5357</v>
      </c>
      <c r="AX28" s="87"/>
      <c r="AY28" s="88">
        <f t="shared" si="9"/>
        <v>85123.66</v>
      </c>
      <c r="AZ28" s="88">
        <v>67000</v>
      </c>
      <c r="BA28" s="88">
        <v>70000</v>
      </c>
      <c r="BB28" s="89"/>
    </row>
    <row r="29" spans="1:54" x14ac:dyDescent="0.3">
      <c r="A29" s="50"/>
      <c r="B29" s="50"/>
      <c r="C29" s="50"/>
      <c r="D29" s="50"/>
      <c r="E29" s="50"/>
      <c r="F29" s="50" t="s">
        <v>97</v>
      </c>
      <c r="G29" s="50"/>
      <c r="H29" s="51">
        <v>1100</v>
      </c>
      <c r="I29" s="51">
        <v>0</v>
      </c>
      <c r="J29" s="51">
        <v>4300</v>
      </c>
      <c r="K29" s="51">
        <v>7900</v>
      </c>
      <c r="L29" s="51">
        <v>0</v>
      </c>
      <c r="M29" s="51">
        <v>5400</v>
      </c>
      <c r="N29" s="51">
        <v>3600</v>
      </c>
      <c r="O29" s="51">
        <v>5200</v>
      </c>
      <c r="P29" s="51">
        <v>3600</v>
      </c>
      <c r="Q29" s="51">
        <v>2900</v>
      </c>
      <c r="R29" s="51">
        <v>0</v>
      </c>
      <c r="S29" s="51">
        <v>2700</v>
      </c>
      <c r="T29" s="51"/>
      <c r="U29" s="51">
        <f t="shared" si="8"/>
        <v>36700</v>
      </c>
      <c r="V29" s="67">
        <v>17000</v>
      </c>
      <c r="W29" s="67">
        <v>17000</v>
      </c>
      <c r="AB29" s="86"/>
      <c r="AC29" s="86"/>
      <c r="AD29" s="86"/>
      <c r="AE29" s="86"/>
      <c r="AF29" s="86" t="s">
        <v>97</v>
      </c>
      <c r="AG29" s="86"/>
      <c r="AH29" s="87"/>
      <c r="AI29" s="87"/>
      <c r="AJ29" s="87"/>
      <c r="AK29" s="87"/>
      <c r="AL29" s="87">
        <v>1500</v>
      </c>
      <c r="AM29" s="87">
        <v>0</v>
      </c>
      <c r="AN29" s="87">
        <v>1600</v>
      </c>
      <c r="AO29" s="87">
        <v>0</v>
      </c>
      <c r="AP29" s="87">
        <v>3000</v>
      </c>
      <c r="AQ29" s="87">
        <v>3100</v>
      </c>
      <c r="AR29" s="87">
        <v>0</v>
      </c>
      <c r="AS29" s="87">
        <v>3300</v>
      </c>
      <c r="AT29" s="87">
        <v>1500</v>
      </c>
      <c r="AU29" s="87">
        <v>3100</v>
      </c>
      <c r="AV29" s="87">
        <v>0</v>
      </c>
      <c r="AW29" s="87">
        <v>1500</v>
      </c>
      <c r="AX29" s="87"/>
      <c r="AY29" s="88">
        <f t="shared" si="9"/>
        <v>18600</v>
      </c>
      <c r="AZ29" s="88">
        <v>27000</v>
      </c>
      <c r="BA29" s="88">
        <v>17000</v>
      </c>
      <c r="BB29" s="89"/>
    </row>
    <row r="30" spans="1:54" x14ac:dyDescent="0.3">
      <c r="A30" s="50"/>
      <c r="B30" s="50"/>
      <c r="C30" s="50"/>
      <c r="D30" s="50"/>
      <c r="E30" s="50"/>
      <c r="F30" s="50" t="s">
        <v>198</v>
      </c>
      <c r="G30" s="50"/>
      <c r="H30" s="51">
        <v>0</v>
      </c>
      <c r="I30" s="51">
        <v>0</v>
      </c>
      <c r="J30" s="51">
        <v>0</v>
      </c>
      <c r="K30" s="51">
        <v>0</v>
      </c>
      <c r="L30" s="51">
        <v>0</v>
      </c>
      <c r="M30" s="51">
        <v>0</v>
      </c>
      <c r="N30" s="51">
        <v>0</v>
      </c>
      <c r="O30" s="51">
        <v>0</v>
      </c>
      <c r="P30" s="51">
        <v>0</v>
      </c>
      <c r="Q30" s="51">
        <v>300</v>
      </c>
      <c r="R30" s="51">
        <v>0</v>
      </c>
      <c r="S30" s="51">
        <v>0</v>
      </c>
      <c r="T30" s="51"/>
      <c r="U30" s="51">
        <f t="shared" si="8"/>
        <v>300</v>
      </c>
      <c r="V30" s="67">
        <v>300</v>
      </c>
      <c r="W30" s="67">
        <v>300</v>
      </c>
      <c r="AB30" s="86"/>
      <c r="AC30" s="86"/>
      <c r="AD30" s="86"/>
      <c r="AE30" s="86"/>
      <c r="AF30" s="86" t="s">
        <v>198</v>
      </c>
      <c r="AG30" s="86"/>
      <c r="AH30" s="87"/>
      <c r="AI30" s="87"/>
      <c r="AJ30" s="87"/>
      <c r="AK30" s="87"/>
      <c r="AL30" s="87">
        <v>0</v>
      </c>
      <c r="AM30" s="87">
        <v>0</v>
      </c>
      <c r="AN30" s="87">
        <v>0</v>
      </c>
      <c r="AO30" s="87">
        <v>0</v>
      </c>
      <c r="AP30" s="87">
        <v>300</v>
      </c>
      <c r="AQ30" s="87">
        <v>0</v>
      </c>
      <c r="AR30" s="87">
        <v>0</v>
      </c>
      <c r="AS30" s="87">
        <v>0</v>
      </c>
      <c r="AT30" s="87">
        <v>0</v>
      </c>
      <c r="AU30" s="87">
        <v>0</v>
      </c>
      <c r="AV30" s="87">
        <v>0</v>
      </c>
      <c r="AW30" s="87">
        <v>0</v>
      </c>
      <c r="AX30" s="87"/>
      <c r="AY30" s="88">
        <f t="shared" si="9"/>
        <v>300</v>
      </c>
      <c r="AZ30" s="88">
        <v>300</v>
      </c>
      <c r="BA30" s="88">
        <v>300</v>
      </c>
      <c r="BB30" s="89"/>
    </row>
    <row r="31" spans="1:54" ht="13.8" customHeight="1" x14ac:dyDescent="0.3">
      <c r="A31" s="50"/>
      <c r="B31" s="50"/>
      <c r="C31" s="50"/>
      <c r="D31" s="50"/>
      <c r="E31" s="50"/>
      <c r="F31" s="50" t="s">
        <v>231</v>
      </c>
      <c r="G31" s="50"/>
      <c r="H31" s="51">
        <v>1000</v>
      </c>
      <c r="I31" s="51">
        <v>500</v>
      </c>
      <c r="J31" s="51">
        <v>6500</v>
      </c>
      <c r="K31" s="51">
        <v>3000</v>
      </c>
      <c r="L31" s="51">
        <v>1000</v>
      </c>
      <c r="M31" s="51">
        <v>3000</v>
      </c>
      <c r="N31" s="51">
        <v>3500</v>
      </c>
      <c r="O31" s="51">
        <v>4000</v>
      </c>
      <c r="P31" s="51">
        <v>5000</v>
      </c>
      <c r="Q31" s="51">
        <v>4000</v>
      </c>
      <c r="R31" s="51">
        <v>0</v>
      </c>
      <c r="S31" s="51">
        <v>500</v>
      </c>
      <c r="T31" s="51"/>
      <c r="U31" s="51">
        <f t="shared" si="8"/>
        <v>32000</v>
      </c>
      <c r="V31" s="67">
        <v>6500</v>
      </c>
      <c r="W31" s="67">
        <v>16000</v>
      </c>
      <c r="X31" s="68" t="s">
        <v>309</v>
      </c>
      <c r="AB31" s="86"/>
      <c r="AC31" s="86"/>
      <c r="AD31" s="86"/>
      <c r="AE31" s="86"/>
      <c r="AF31" s="86" t="s">
        <v>231</v>
      </c>
      <c r="AG31" s="86"/>
      <c r="AH31" s="87"/>
      <c r="AI31" s="87"/>
      <c r="AJ31" s="87"/>
      <c r="AK31" s="87"/>
      <c r="AL31" s="87">
        <v>0</v>
      </c>
      <c r="AM31" s="87">
        <v>0</v>
      </c>
      <c r="AN31" s="87">
        <v>0</v>
      </c>
      <c r="AO31" s="87">
        <v>-500</v>
      </c>
      <c r="AP31" s="87">
        <v>500</v>
      </c>
      <c r="AQ31" s="87">
        <v>2000</v>
      </c>
      <c r="AR31" s="87">
        <v>1500</v>
      </c>
      <c r="AS31" s="87">
        <v>0</v>
      </c>
      <c r="AT31" s="87">
        <v>0</v>
      </c>
      <c r="AU31" s="87">
        <v>0</v>
      </c>
      <c r="AV31" s="87">
        <v>0</v>
      </c>
      <c r="AW31" s="87">
        <v>0</v>
      </c>
      <c r="AX31" s="87"/>
      <c r="AY31" s="88">
        <f t="shared" si="9"/>
        <v>3500</v>
      </c>
      <c r="AZ31" s="88">
        <v>0</v>
      </c>
      <c r="BA31" s="88">
        <v>6500</v>
      </c>
      <c r="BB31" s="89" t="s">
        <v>257</v>
      </c>
    </row>
    <row r="32" spans="1:54" x14ac:dyDescent="0.3">
      <c r="A32" s="50"/>
      <c r="B32" s="50"/>
      <c r="C32" s="50"/>
      <c r="D32" s="50"/>
      <c r="E32" s="50"/>
      <c r="F32" s="50" t="s">
        <v>98</v>
      </c>
      <c r="G32" s="50"/>
      <c r="H32" s="51">
        <v>1480</v>
      </c>
      <c r="I32" s="51">
        <v>980</v>
      </c>
      <c r="J32" s="51">
        <v>2360</v>
      </c>
      <c r="K32" s="51">
        <v>1965</v>
      </c>
      <c r="L32" s="51">
        <v>375</v>
      </c>
      <c r="M32" s="51">
        <v>2855</v>
      </c>
      <c r="N32" s="51">
        <v>1860</v>
      </c>
      <c r="O32" s="51">
        <v>880</v>
      </c>
      <c r="P32" s="51">
        <v>4003</v>
      </c>
      <c r="Q32" s="51">
        <v>2025</v>
      </c>
      <c r="R32" s="51">
        <v>0</v>
      </c>
      <c r="S32" s="51">
        <v>1680</v>
      </c>
      <c r="T32" s="51"/>
      <c r="U32" s="51">
        <f t="shared" si="8"/>
        <v>20463</v>
      </c>
      <c r="V32" s="67">
        <v>16000</v>
      </c>
      <c r="W32" s="67">
        <v>16000</v>
      </c>
      <c r="AB32" s="86"/>
      <c r="AC32" s="86"/>
      <c r="AD32" s="86"/>
      <c r="AE32" s="86"/>
      <c r="AF32" s="86" t="s">
        <v>98</v>
      </c>
      <c r="AG32" s="86"/>
      <c r="AH32" s="87"/>
      <c r="AI32" s="87"/>
      <c r="AJ32" s="87"/>
      <c r="AK32" s="87"/>
      <c r="AL32" s="87">
        <v>1750</v>
      </c>
      <c r="AM32" s="87">
        <v>950</v>
      </c>
      <c r="AN32" s="87">
        <v>785</v>
      </c>
      <c r="AO32" s="87">
        <v>1550</v>
      </c>
      <c r="AP32" s="87">
        <v>500</v>
      </c>
      <c r="AQ32" s="87">
        <v>1320</v>
      </c>
      <c r="AR32" s="87">
        <v>1330</v>
      </c>
      <c r="AS32" s="87">
        <v>4113.1499999999996</v>
      </c>
      <c r="AT32" s="87">
        <v>2765</v>
      </c>
      <c r="AU32" s="87">
        <v>985</v>
      </c>
      <c r="AV32" s="87">
        <v>3010</v>
      </c>
      <c r="AW32" s="87">
        <v>300</v>
      </c>
      <c r="AX32" s="87"/>
      <c r="AY32" s="88">
        <f t="shared" si="9"/>
        <v>19358.150000000001</v>
      </c>
      <c r="AZ32" s="88">
        <v>12000</v>
      </c>
      <c r="BA32" s="88">
        <v>16000</v>
      </c>
      <c r="BB32" s="89"/>
    </row>
    <row r="33" spans="1:54" ht="15" thickBot="1" x14ac:dyDescent="0.35">
      <c r="A33" s="50"/>
      <c r="B33" s="50"/>
      <c r="C33" s="50"/>
      <c r="D33" s="50"/>
      <c r="E33" s="50"/>
      <c r="F33" s="50" t="s">
        <v>99</v>
      </c>
      <c r="G33" s="50"/>
      <c r="H33" s="51">
        <v>0</v>
      </c>
      <c r="I33" s="51">
        <v>0</v>
      </c>
      <c r="J33" s="51">
        <v>88.5</v>
      </c>
      <c r="K33" s="51">
        <v>15</v>
      </c>
      <c r="L33" s="51">
        <v>0</v>
      </c>
      <c r="M33" s="51">
        <v>0</v>
      </c>
      <c r="N33" s="51">
        <v>0</v>
      </c>
      <c r="O33" s="51">
        <v>0</v>
      </c>
      <c r="P33" s="51">
        <v>0</v>
      </c>
      <c r="Q33" s="51">
        <v>0</v>
      </c>
      <c r="R33" s="51">
        <v>-150</v>
      </c>
      <c r="S33" s="51">
        <v>0</v>
      </c>
      <c r="T33" s="51"/>
      <c r="U33" s="51">
        <f t="shared" si="8"/>
        <v>-46.5</v>
      </c>
      <c r="V33" s="67">
        <v>400</v>
      </c>
      <c r="W33" s="67">
        <v>400</v>
      </c>
      <c r="AB33" s="86"/>
      <c r="AC33" s="86"/>
      <c r="AD33" s="86"/>
      <c r="AE33" s="86" t="s">
        <v>100</v>
      </c>
      <c r="AF33" s="86" t="s">
        <v>99</v>
      </c>
      <c r="AG33" s="86"/>
      <c r="AH33" s="87"/>
      <c r="AI33" s="87"/>
      <c r="AJ33" s="87"/>
      <c r="AK33" s="87"/>
      <c r="AL33" s="87">
        <v>0</v>
      </c>
      <c r="AM33" s="87">
        <v>0</v>
      </c>
      <c r="AN33" s="87">
        <v>0</v>
      </c>
      <c r="AO33" s="87">
        <v>0</v>
      </c>
      <c r="AP33" s="87">
        <v>0</v>
      </c>
      <c r="AQ33" s="87">
        <v>0</v>
      </c>
      <c r="AR33" s="87">
        <v>0</v>
      </c>
      <c r="AS33" s="87">
        <v>0</v>
      </c>
      <c r="AT33" s="87">
        <v>0</v>
      </c>
      <c r="AU33" s="87">
        <v>0</v>
      </c>
      <c r="AV33" s="87">
        <v>25</v>
      </c>
      <c r="AW33" s="87">
        <v>145.41999999999999</v>
      </c>
      <c r="AX33" s="87"/>
      <c r="AY33" s="88">
        <f t="shared" si="9"/>
        <v>170.42</v>
      </c>
      <c r="AZ33" s="88">
        <v>500</v>
      </c>
      <c r="BA33" s="88">
        <v>400</v>
      </c>
      <c r="BB33" s="89"/>
    </row>
    <row r="34" spans="1:54" ht="15" thickBot="1" x14ac:dyDescent="0.35">
      <c r="A34" s="50"/>
      <c r="B34" s="50"/>
      <c r="C34" s="50"/>
      <c r="D34" s="50"/>
      <c r="E34" s="50" t="s">
        <v>100</v>
      </c>
      <c r="F34" s="50"/>
      <c r="G34" s="50"/>
      <c r="H34" s="53">
        <f t="shared" ref="H34:P34" si="10">ROUND(SUM(H23:H33),5)</f>
        <v>44230</v>
      </c>
      <c r="I34" s="53">
        <f t="shared" si="10"/>
        <v>13160</v>
      </c>
      <c r="J34" s="53">
        <f t="shared" si="10"/>
        <v>77890.5</v>
      </c>
      <c r="K34" s="53">
        <f t="shared" si="10"/>
        <v>40920</v>
      </c>
      <c r="L34" s="53">
        <f t="shared" si="10"/>
        <v>20925</v>
      </c>
      <c r="M34" s="53">
        <f t="shared" si="10"/>
        <v>32315</v>
      </c>
      <c r="N34" s="53">
        <f t="shared" si="10"/>
        <v>42070</v>
      </c>
      <c r="O34" s="53">
        <f t="shared" si="10"/>
        <v>38620</v>
      </c>
      <c r="P34" s="53">
        <f t="shared" si="10"/>
        <v>59133</v>
      </c>
      <c r="Q34" s="53">
        <f>ROUND(SUM(Q23:Q33),5)</f>
        <v>30655</v>
      </c>
      <c r="R34" s="53">
        <f>ROUND(SUM(R23:R33),5)</f>
        <v>2750</v>
      </c>
      <c r="S34" s="53">
        <f>ROUND(SUM(S23:S33),5)</f>
        <v>20000</v>
      </c>
      <c r="T34" s="53" t="s">
        <v>307</v>
      </c>
      <c r="U34" s="53">
        <f t="shared" si="8"/>
        <v>422668.5</v>
      </c>
      <c r="V34" s="53">
        <f>ROUND(SUM(V23:V33),5)</f>
        <v>343200</v>
      </c>
      <c r="W34" s="53">
        <f>ROUND(SUM(W23:W33),5)</f>
        <v>309500</v>
      </c>
      <c r="AB34" s="86"/>
      <c r="AC34" s="86"/>
      <c r="AD34" s="86" t="s">
        <v>3</v>
      </c>
      <c r="AE34" s="86"/>
      <c r="AF34" s="86"/>
      <c r="AG34" s="86"/>
      <c r="AH34" s="93"/>
      <c r="AI34" s="93"/>
      <c r="AJ34" s="93"/>
      <c r="AK34" s="93"/>
      <c r="AL34" s="93">
        <f t="shared" ref="AL34:AW34" si="11">ROUND(SUM(AL23:AL33),5)</f>
        <v>18825</v>
      </c>
      <c r="AM34" s="93">
        <f t="shared" si="11"/>
        <v>22560</v>
      </c>
      <c r="AN34" s="93">
        <f t="shared" si="11"/>
        <v>32385</v>
      </c>
      <c r="AO34" s="93">
        <f t="shared" si="11"/>
        <v>52300</v>
      </c>
      <c r="AP34" s="93">
        <f t="shared" si="11"/>
        <v>12700</v>
      </c>
      <c r="AQ34" s="93">
        <f t="shared" si="11"/>
        <v>37770</v>
      </c>
      <c r="AR34" s="93">
        <f t="shared" si="11"/>
        <v>30580</v>
      </c>
      <c r="AS34" s="93">
        <f t="shared" si="11"/>
        <v>50923.15</v>
      </c>
      <c r="AT34" s="93">
        <f t="shared" si="11"/>
        <v>53915</v>
      </c>
      <c r="AU34" s="93">
        <f t="shared" si="11"/>
        <v>24460</v>
      </c>
      <c r="AV34" s="93">
        <f t="shared" si="11"/>
        <v>16160</v>
      </c>
      <c r="AW34" s="93">
        <f t="shared" si="11"/>
        <v>21245.42</v>
      </c>
      <c r="AX34" s="93"/>
      <c r="AY34" s="94">
        <f t="shared" si="9"/>
        <v>373823.57</v>
      </c>
      <c r="AZ34" s="94">
        <f>ROUND(SUM(AZ23:AZ33),5)</f>
        <v>268800</v>
      </c>
      <c r="BA34" s="94">
        <f>ROUND(SUM(BA23:BA33),5)</f>
        <v>343200</v>
      </c>
      <c r="BB34" s="95"/>
    </row>
    <row r="35" spans="1:54" x14ac:dyDescent="0.3">
      <c r="A35" s="50"/>
      <c r="B35" s="50"/>
      <c r="C35" s="50"/>
      <c r="D35" s="50" t="s">
        <v>3</v>
      </c>
      <c r="E35" s="50"/>
      <c r="F35" s="50"/>
      <c r="G35" s="50"/>
      <c r="H35" s="51">
        <f t="shared" ref="H35:P35" si="12">ROUND(H3+H15+H22+H34,5)</f>
        <v>61275.14</v>
      </c>
      <c r="I35" s="51">
        <f t="shared" si="12"/>
        <v>21077.040000000001</v>
      </c>
      <c r="J35" s="51">
        <f t="shared" si="12"/>
        <v>86259.35</v>
      </c>
      <c r="K35" s="51">
        <f t="shared" si="12"/>
        <v>85563.12</v>
      </c>
      <c r="L35" s="51">
        <f t="shared" si="12"/>
        <v>26431.9</v>
      </c>
      <c r="M35" s="51">
        <f t="shared" si="12"/>
        <v>297669.45</v>
      </c>
      <c r="N35" s="51">
        <f t="shared" si="12"/>
        <v>218782.29</v>
      </c>
      <c r="O35" s="51">
        <f t="shared" si="12"/>
        <v>59700.88</v>
      </c>
      <c r="P35" s="51">
        <f t="shared" si="12"/>
        <v>74424.84</v>
      </c>
      <c r="Q35" s="51">
        <f>ROUND(Q3+Q15+Q22+Q34,5)</f>
        <v>104610.76</v>
      </c>
      <c r="R35" s="51">
        <f>ROUND(R3+R15+R22+R34,5)</f>
        <v>275564.61</v>
      </c>
      <c r="S35" s="51">
        <f>ROUND(S3+S15+S22+S34,5)</f>
        <v>43652.36</v>
      </c>
      <c r="T35" s="51"/>
      <c r="U35" s="51">
        <f t="shared" si="8"/>
        <v>1355011.74</v>
      </c>
      <c r="V35" s="51">
        <f>ROUND(V3+V15+V22+V34,5)</f>
        <v>1201000</v>
      </c>
      <c r="W35" s="51">
        <f>ROUND(W3+W15+W22+W34,5)</f>
        <v>1198500</v>
      </c>
      <c r="AB35" s="86"/>
      <c r="AC35" s="86"/>
      <c r="AD35" s="86" t="s">
        <v>101</v>
      </c>
      <c r="AE35" s="86"/>
      <c r="AF35" s="86"/>
      <c r="AG35" s="86"/>
      <c r="AH35" s="87"/>
      <c r="AI35" s="87"/>
      <c r="AJ35" s="87"/>
      <c r="AK35" s="87"/>
      <c r="AL35" s="87">
        <f t="shared" ref="AL35:AW35" si="13">ROUND(AL3+AL15+AL22+AL34,5)</f>
        <v>19157.96</v>
      </c>
      <c r="AM35" s="87">
        <f t="shared" si="13"/>
        <v>32762.26</v>
      </c>
      <c r="AN35" s="87">
        <f t="shared" si="13"/>
        <v>38581.82</v>
      </c>
      <c r="AO35" s="87">
        <f t="shared" si="13"/>
        <v>91690.13</v>
      </c>
      <c r="AP35" s="87">
        <f t="shared" si="13"/>
        <v>19284.080000000002</v>
      </c>
      <c r="AQ35" s="87">
        <f t="shared" si="13"/>
        <v>247789.42</v>
      </c>
      <c r="AR35" s="87">
        <f t="shared" si="13"/>
        <v>256344.78</v>
      </c>
      <c r="AS35" s="87">
        <f t="shared" si="13"/>
        <v>59246.37</v>
      </c>
      <c r="AT35" s="87">
        <f t="shared" si="13"/>
        <v>65460.81</v>
      </c>
      <c r="AU35" s="87">
        <f t="shared" si="13"/>
        <v>97264.65</v>
      </c>
      <c r="AV35" s="87">
        <f t="shared" si="13"/>
        <v>222938.27</v>
      </c>
      <c r="AW35" s="87">
        <f t="shared" si="13"/>
        <v>114688.35</v>
      </c>
      <c r="AX35" s="87"/>
      <c r="AY35" s="88">
        <f t="shared" si="9"/>
        <v>1265208.8999999999</v>
      </c>
      <c r="AZ35" s="88">
        <f>ROUND(AZ3+AZ15+AZ22+AZ34,5)</f>
        <v>1078800</v>
      </c>
      <c r="BA35" s="88">
        <f>ROUND(BA3+BA15+BA22+BA34,5)</f>
        <v>1201000</v>
      </c>
      <c r="BB35" s="89"/>
    </row>
    <row r="36" spans="1:54" hidden="1" x14ac:dyDescent="0.3">
      <c r="A36" s="50"/>
      <c r="B36" s="50"/>
      <c r="C36" s="50"/>
      <c r="D36" s="50" t="s">
        <v>101</v>
      </c>
      <c r="E36" s="50"/>
      <c r="F36" s="50"/>
      <c r="G36" s="50"/>
      <c r="H36" s="51"/>
      <c r="I36" s="51"/>
      <c r="J36" s="51"/>
      <c r="K36" s="51"/>
      <c r="L36" s="51"/>
      <c r="M36" s="51"/>
      <c r="N36" s="51"/>
      <c r="O36" s="51"/>
      <c r="P36" s="51"/>
      <c r="Q36" s="51"/>
      <c r="R36" s="51"/>
      <c r="S36" s="51"/>
      <c r="T36" s="51"/>
      <c r="U36" s="51"/>
      <c r="V36" s="51"/>
      <c r="W36" s="51"/>
      <c r="AB36" s="86"/>
      <c r="AC36" s="86"/>
      <c r="AD36" s="86"/>
      <c r="AE36" s="86" t="s">
        <v>102</v>
      </c>
      <c r="AF36" s="86"/>
      <c r="AG36" s="86"/>
      <c r="AH36" s="87"/>
      <c r="AI36" s="87"/>
      <c r="AJ36" s="87"/>
      <c r="AK36" s="87"/>
      <c r="AL36" s="87"/>
      <c r="AM36" s="87"/>
      <c r="AN36" s="87"/>
      <c r="AO36" s="87"/>
      <c r="AP36" s="87"/>
      <c r="AQ36" s="87"/>
      <c r="AR36" s="87"/>
      <c r="AS36" s="87"/>
      <c r="AT36" s="87"/>
      <c r="AU36" s="87"/>
      <c r="AV36" s="87"/>
      <c r="AW36" s="87"/>
      <c r="AX36" s="87"/>
      <c r="AY36" s="88"/>
      <c r="AZ36" s="88"/>
      <c r="BA36" s="88"/>
      <c r="BB36" s="89"/>
    </row>
    <row r="37" spans="1:54" hidden="1" x14ac:dyDescent="0.3">
      <c r="A37" s="50"/>
      <c r="B37" s="50"/>
      <c r="C37" s="50"/>
      <c r="D37" s="50"/>
      <c r="E37" s="50" t="s">
        <v>102</v>
      </c>
      <c r="F37" s="50"/>
      <c r="G37" s="50"/>
      <c r="H37" s="51">
        <v>0</v>
      </c>
      <c r="I37" s="51">
        <v>0</v>
      </c>
      <c r="J37" s="51">
        <v>0</v>
      </c>
      <c r="K37" s="51">
        <v>0</v>
      </c>
      <c r="L37" s="51">
        <v>0</v>
      </c>
      <c r="M37" s="51">
        <v>0</v>
      </c>
      <c r="N37" s="51">
        <v>0</v>
      </c>
      <c r="O37" s="51">
        <v>0</v>
      </c>
      <c r="P37" s="51">
        <v>0</v>
      </c>
      <c r="Q37" s="51">
        <v>0</v>
      </c>
      <c r="R37" s="51">
        <v>0</v>
      </c>
      <c r="S37" s="51">
        <v>0</v>
      </c>
      <c r="T37" s="51"/>
      <c r="U37" s="51">
        <f>ROUND(SUM(H37:T37),5)</f>
        <v>0</v>
      </c>
      <c r="V37" s="51">
        <v>0</v>
      </c>
      <c r="W37" s="51">
        <v>0</v>
      </c>
      <c r="AB37" s="86"/>
      <c r="AC37" s="86"/>
      <c r="AD37" s="86" t="s">
        <v>103</v>
      </c>
      <c r="AE37" s="86"/>
      <c r="AF37" s="86"/>
      <c r="AG37" s="86"/>
      <c r="AH37" s="87"/>
      <c r="AI37" s="87"/>
      <c r="AJ37" s="87"/>
      <c r="AK37" s="87"/>
      <c r="AL37" s="87">
        <v>0</v>
      </c>
      <c r="AM37" s="87">
        <v>0</v>
      </c>
      <c r="AN37" s="87">
        <v>0</v>
      </c>
      <c r="AO37" s="87">
        <v>0</v>
      </c>
      <c r="AP37" s="87">
        <v>0</v>
      </c>
      <c r="AQ37" s="87">
        <v>0</v>
      </c>
      <c r="AR37" s="87">
        <v>0</v>
      </c>
      <c r="AS37" s="87">
        <v>0</v>
      </c>
      <c r="AT37" s="87">
        <v>0</v>
      </c>
      <c r="AU37" s="87">
        <v>0</v>
      </c>
      <c r="AV37" s="87">
        <v>0</v>
      </c>
      <c r="AW37" s="87">
        <v>0</v>
      </c>
      <c r="AX37" s="87"/>
      <c r="AY37" s="88">
        <f>ROUND(SUM(AH37:AX37),5)</f>
        <v>0</v>
      </c>
      <c r="AZ37" s="88">
        <v>0</v>
      </c>
      <c r="BA37" s="88">
        <v>0</v>
      </c>
      <c r="BB37" s="89"/>
    </row>
    <row r="38" spans="1:54" ht="15" hidden="1" thickBot="1" x14ac:dyDescent="0.35">
      <c r="A38" s="50"/>
      <c r="B38" s="50"/>
      <c r="C38" s="50"/>
      <c r="D38" s="50" t="s">
        <v>103</v>
      </c>
      <c r="E38" s="50"/>
      <c r="F38" s="50"/>
      <c r="G38" s="50"/>
      <c r="H38" s="53">
        <f t="shared" ref="H38:P38" si="14">ROUND(SUM(H36:H37),5)</f>
        <v>0</v>
      </c>
      <c r="I38" s="53">
        <f t="shared" si="14"/>
        <v>0</v>
      </c>
      <c r="J38" s="53">
        <f t="shared" si="14"/>
        <v>0</v>
      </c>
      <c r="K38" s="53">
        <f t="shared" si="14"/>
        <v>0</v>
      </c>
      <c r="L38" s="53">
        <f t="shared" si="14"/>
        <v>0</v>
      </c>
      <c r="M38" s="53">
        <f t="shared" si="14"/>
        <v>0</v>
      </c>
      <c r="N38" s="53">
        <f t="shared" si="14"/>
        <v>0</v>
      </c>
      <c r="O38" s="53">
        <f t="shared" si="14"/>
        <v>0</v>
      </c>
      <c r="P38" s="53">
        <f t="shared" si="14"/>
        <v>0</v>
      </c>
      <c r="Q38" s="53">
        <f>ROUND(SUM(Q36:Q37),5)</f>
        <v>0</v>
      </c>
      <c r="R38" s="53">
        <f>ROUND(SUM(R36:R37),5)</f>
        <v>0</v>
      </c>
      <c r="S38" s="53">
        <f>ROUND(SUM(S36:S37),5)</f>
        <v>0</v>
      </c>
      <c r="T38" s="53"/>
      <c r="U38" s="53">
        <f>ROUND(SUM(H38:T38),5)</f>
        <v>0</v>
      </c>
      <c r="V38" s="53">
        <f>ROUND(SUM(V36:V37),5)</f>
        <v>0</v>
      </c>
      <c r="W38" s="53">
        <f>ROUND(SUM(W36:W37),5)</f>
        <v>0</v>
      </c>
      <c r="AB38" s="86"/>
      <c r="AC38" s="86" t="s">
        <v>104</v>
      </c>
      <c r="AD38" s="86"/>
      <c r="AE38" s="86"/>
      <c r="AF38" s="86"/>
      <c r="AG38" s="86"/>
      <c r="AH38" s="93"/>
      <c r="AI38" s="93"/>
      <c r="AJ38" s="93"/>
      <c r="AK38" s="93"/>
      <c r="AL38" s="93">
        <f t="shared" ref="AL38:AW38" si="15">ROUND(SUM(AL36:AL37),5)</f>
        <v>0</v>
      </c>
      <c r="AM38" s="93">
        <f t="shared" si="15"/>
        <v>0</v>
      </c>
      <c r="AN38" s="93">
        <f t="shared" si="15"/>
        <v>0</v>
      </c>
      <c r="AO38" s="93">
        <f t="shared" si="15"/>
        <v>0</v>
      </c>
      <c r="AP38" s="93">
        <f t="shared" si="15"/>
        <v>0</v>
      </c>
      <c r="AQ38" s="93">
        <f t="shared" si="15"/>
        <v>0</v>
      </c>
      <c r="AR38" s="93">
        <f t="shared" si="15"/>
        <v>0</v>
      </c>
      <c r="AS38" s="93">
        <f t="shared" si="15"/>
        <v>0</v>
      </c>
      <c r="AT38" s="93">
        <f t="shared" si="15"/>
        <v>0</v>
      </c>
      <c r="AU38" s="93">
        <f t="shared" si="15"/>
        <v>0</v>
      </c>
      <c r="AV38" s="93">
        <f t="shared" si="15"/>
        <v>0</v>
      </c>
      <c r="AW38" s="93">
        <f t="shared" si="15"/>
        <v>0</v>
      </c>
      <c r="AX38" s="93"/>
      <c r="AY38" s="94">
        <f>ROUND(SUM(AH38:AX38),5)</f>
        <v>0</v>
      </c>
      <c r="AZ38" s="94">
        <f>ROUND(SUM(AZ36:AZ37),5)</f>
        <v>0</v>
      </c>
      <c r="BA38" s="94">
        <f>ROUND(SUM(BA36:BA37),5)</f>
        <v>0</v>
      </c>
      <c r="BB38" s="95"/>
    </row>
    <row r="39" spans="1:54" hidden="1" x14ac:dyDescent="0.3">
      <c r="A39" s="50"/>
      <c r="B39" s="50"/>
      <c r="C39" s="50" t="s">
        <v>104</v>
      </c>
      <c r="D39" s="50"/>
      <c r="E39" s="50"/>
      <c r="F39" s="50"/>
      <c r="G39" s="50"/>
      <c r="H39" s="51">
        <f t="shared" ref="H39:P39" si="16">ROUND(H35-H38,5)</f>
        <v>61275.14</v>
      </c>
      <c r="I39" s="51">
        <f t="shared" si="16"/>
        <v>21077.040000000001</v>
      </c>
      <c r="J39" s="51">
        <f t="shared" si="16"/>
        <v>86259.35</v>
      </c>
      <c r="K39" s="51">
        <f t="shared" si="16"/>
        <v>85563.12</v>
      </c>
      <c r="L39" s="51">
        <f t="shared" si="16"/>
        <v>26431.9</v>
      </c>
      <c r="M39" s="51">
        <f t="shared" si="16"/>
        <v>297669.45</v>
      </c>
      <c r="N39" s="51">
        <f t="shared" si="16"/>
        <v>218782.29</v>
      </c>
      <c r="O39" s="51">
        <f t="shared" si="16"/>
        <v>59700.88</v>
      </c>
      <c r="P39" s="51">
        <f t="shared" si="16"/>
        <v>74424.84</v>
      </c>
      <c r="Q39" s="51">
        <f>ROUND(Q35-Q38,5)</f>
        <v>104610.76</v>
      </c>
      <c r="R39" s="51">
        <f>ROUND(R35-R38,5)</f>
        <v>275564.61</v>
      </c>
      <c r="S39" s="51">
        <f>ROUND(S35-S38,5)</f>
        <v>43652.36</v>
      </c>
      <c r="T39" s="51"/>
      <c r="U39" s="51">
        <f>ROUND(SUM(H39:T39),5)</f>
        <v>1355011.74</v>
      </c>
      <c r="V39" s="51">
        <f>ROUND(V35-V38,5)</f>
        <v>1201000</v>
      </c>
      <c r="W39" s="51">
        <f>ROUND(W35-W38,5)</f>
        <v>1198500</v>
      </c>
      <c r="AB39" s="86"/>
      <c r="AC39" s="86"/>
      <c r="AD39" s="86" t="s">
        <v>4</v>
      </c>
      <c r="AE39" s="86"/>
      <c r="AF39" s="86"/>
      <c r="AG39" s="86"/>
      <c r="AH39" s="87"/>
      <c r="AI39" s="87"/>
      <c r="AJ39" s="87"/>
      <c r="AK39" s="87"/>
      <c r="AL39" s="87">
        <f t="shared" ref="AL39:AW39" si="17">ROUND(AL35-AL38,5)</f>
        <v>19157.96</v>
      </c>
      <c r="AM39" s="87">
        <f t="shared" si="17"/>
        <v>32762.26</v>
      </c>
      <c r="AN39" s="87">
        <f t="shared" si="17"/>
        <v>38581.82</v>
      </c>
      <c r="AO39" s="87">
        <f t="shared" si="17"/>
        <v>91690.13</v>
      </c>
      <c r="AP39" s="87">
        <f t="shared" si="17"/>
        <v>19284.080000000002</v>
      </c>
      <c r="AQ39" s="87">
        <f t="shared" si="17"/>
        <v>247789.42</v>
      </c>
      <c r="AR39" s="87">
        <f t="shared" si="17"/>
        <v>256344.78</v>
      </c>
      <c r="AS39" s="87">
        <f t="shared" si="17"/>
        <v>59246.37</v>
      </c>
      <c r="AT39" s="87">
        <f t="shared" si="17"/>
        <v>65460.81</v>
      </c>
      <c r="AU39" s="87">
        <f t="shared" si="17"/>
        <v>97264.65</v>
      </c>
      <c r="AV39" s="87">
        <f t="shared" si="17"/>
        <v>222938.27</v>
      </c>
      <c r="AW39" s="87">
        <f t="shared" si="17"/>
        <v>114688.35</v>
      </c>
      <c r="AX39" s="87"/>
      <c r="AY39" s="88">
        <f>ROUND(SUM(AH39:AX39),5)</f>
        <v>1265208.8999999999</v>
      </c>
      <c r="AZ39" s="88">
        <f>ROUND(AZ35-AZ38,5)</f>
        <v>1078800</v>
      </c>
      <c r="BA39" s="88">
        <f>ROUND(BA35-BA38,5)</f>
        <v>1201000</v>
      </c>
      <c r="BB39" s="89"/>
    </row>
    <row r="40" spans="1:54" x14ac:dyDescent="0.3">
      <c r="A40" s="50"/>
      <c r="B40" s="50"/>
      <c r="C40" s="50"/>
      <c r="D40" s="50" t="s">
        <v>4</v>
      </c>
      <c r="E40" s="50"/>
      <c r="F40" s="50"/>
      <c r="G40" s="50"/>
      <c r="H40" s="51"/>
      <c r="I40" s="51"/>
      <c r="J40" s="51"/>
      <c r="K40" s="51"/>
      <c r="L40" s="51"/>
      <c r="M40" s="51"/>
      <c r="N40" s="51"/>
      <c r="O40" s="51"/>
      <c r="P40" s="51"/>
      <c r="Q40" s="51"/>
      <c r="R40" s="51"/>
      <c r="S40" s="51"/>
      <c r="T40" s="51"/>
      <c r="U40" s="51"/>
      <c r="V40" s="51"/>
      <c r="W40" s="51"/>
      <c r="AB40" s="86"/>
      <c r="AC40" s="86"/>
      <c r="AD40" s="86"/>
      <c r="AE40" s="86" t="s">
        <v>105</v>
      </c>
      <c r="AF40" s="86"/>
      <c r="AG40" s="86"/>
      <c r="AH40" s="87"/>
      <c r="AI40" s="87"/>
      <c r="AJ40" s="87"/>
      <c r="AK40" s="87"/>
      <c r="AL40" s="87"/>
      <c r="AM40" s="87"/>
      <c r="AN40" s="87"/>
      <c r="AO40" s="87"/>
      <c r="AP40" s="87"/>
      <c r="AQ40" s="87"/>
      <c r="AR40" s="87"/>
      <c r="AS40" s="87"/>
      <c r="AT40" s="87"/>
      <c r="AU40" s="87"/>
      <c r="AV40" s="87"/>
      <c r="AW40" s="87"/>
      <c r="AX40" s="87"/>
      <c r="AY40" s="88"/>
      <c r="AZ40" s="88"/>
      <c r="BA40" s="88"/>
      <c r="BB40" s="89"/>
    </row>
    <row r="41" spans="1:54" x14ac:dyDescent="0.3">
      <c r="A41" s="50"/>
      <c r="B41" s="50"/>
      <c r="C41" s="50"/>
      <c r="D41" s="50"/>
      <c r="E41" s="50" t="s">
        <v>105</v>
      </c>
      <c r="F41" s="50"/>
      <c r="G41" s="50"/>
      <c r="H41" s="51"/>
      <c r="I41" s="51"/>
      <c r="J41" s="51"/>
      <c r="K41" s="51"/>
      <c r="L41" s="51"/>
      <c r="M41" s="51"/>
      <c r="N41" s="51"/>
      <c r="O41" s="51"/>
      <c r="P41" s="51"/>
      <c r="Q41" s="51"/>
      <c r="R41" s="51"/>
      <c r="S41" s="51"/>
      <c r="T41" s="51"/>
      <c r="U41" s="51"/>
      <c r="V41" s="51"/>
      <c r="W41" s="51"/>
      <c r="AB41" s="86"/>
      <c r="AC41" s="86"/>
      <c r="AD41" s="86"/>
      <c r="AE41" s="86"/>
      <c r="AF41" s="86"/>
      <c r="AG41" s="86"/>
      <c r="AH41" s="87"/>
      <c r="AI41" s="87"/>
      <c r="AJ41" s="87"/>
      <c r="AK41" s="87"/>
      <c r="AL41" s="87"/>
      <c r="AM41" s="87"/>
      <c r="AN41" s="87"/>
      <c r="AO41" s="87"/>
      <c r="AP41" s="87"/>
      <c r="AQ41" s="87"/>
      <c r="AR41" s="87"/>
      <c r="AS41" s="87"/>
      <c r="AT41" s="87"/>
      <c r="AU41" s="87"/>
      <c r="AV41" s="87"/>
      <c r="AW41" s="87"/>
      <c r="AX41" s="87"/>
      <c r="AY41" s="88"/>
      <c r="AZ41" s="88"/>
      <c r="BA41" s="88"/>
      <c r="BB41" s="89"/>
    </row>
    <row r="42" spans="1:54" x14ac:dyDescent="0.3">
      <c r="A42" s="50"/>
      <c r="B42" s="50"/>
      <c r="C42" s="50"/>
      <c r="D42" s="50"/>
      <c r="E42" s="50"/>
      <c r="F42" s="50" t="s">
        <v>106</v>
      </c>
      <c r="G42" s="50"/>
      <c r="H42" s="51"/>
      <c r="I42" s="51"/>
      <c r="J42" s="51"/>
      <c r="K42" s="51"/>
      <c r="L42" s="51"/>
      <c r="M42" s="51"/>
      <c r="N42" s="51"/>
      <c r="O42" s="51"/>
      <c r="P42" s="51"/>
      <c r="Q42" s="51"/>
      <c r="R42" s="51"/>
      <c r="S42" s="51"/>
      <c r="T42" s="51"/>
      <c r="U42" s="51"/>
      <c r="V42" s="51"/>
      <c r="W42" s="51"/>
      <c r="AB42" s="86"/>
      <c r="AC42" s="86"/>
      <c r="AD42" s="86"/>
      <c r="AE42" s="86"/>
      <c r="AF42" s="86" t="s">
        <v>106</v>
      </c>
      <c r="AG42" s="86"/>
      <c r="AH42" s="87"/>
      <c r="AI42" s="87"/>
      <c r="AJ42" s="87"/>
      <c r="AK42" s="87"/>
      <c r="AL42" s="87"/>
      <c r="AM42" s="87"/>
      <c r="AN42" s="87"/>
      <c r="AO42" s="87"/>
      <c r="AP42" s="87"/>
      <c r="AQ42" s="87"/>
      <c r="AR42" s="87"/>
      <c r="AS42" s="87"/>
      <c r="AT42" s="87"/>
      <c r="AU42" s="87"/>
      <c r="AV42" s="87"/>
      <c r="AW42" s="87"/>
      <c r="AX42" s="87"/>
      <c r="AY42" s="88"/>
      <c r="AZ42" s="88"/>
      <c r="BA42" s="88"/>
      <c r="BB42" s="89"/>
    </row>
    <row r="43" spans="1:54" x14ac:dyDescent="0.3">
      <c r="A43" s="50"/>
      <c r="B43" s="50"/>
      <c r="C43" s="50"/>
      <c r="D43" s="50"/>
      <c r="E43" s="50"/>
      <c r="F43" s="50"/>
      <c r="G43" s="50" t="s">
        <v>107</v>
      </c>
      <c r="H43" s="51">
        <v>8772.68</v>
      </c>
      <c r="I43" s="51">
        <v>17294.16</v>
      </c>
      <c r="J43" s="51">
        <v>20600.22</v>
      </c>
      <c r="K43" s="51">
        <v>22987.7</v>
      </c>
      <c r="L43" s="51">
        <v>15845.14</v>
      </c>
      <c r="M43" s="51">
        <v>18074.96</v>
      </c>
      <c r="N43" s="51">
        <v>35615.51</v>
      </c>
      <c r="O43" s="51">
        <v>18384.71</v>
      </c>
      <c r="P43" s="51">
        <v>18295.900000000001</v>
      </c>
      <c r="Q43" s="51">
        <v>27577.57</v>
      </c>
      <c r="R43" s="51">
        <v>18483.97</v>
      </c>
      <c r="S43" s="51">
        <v>21987.85</v>
      </c>
      <c r="T43" s="51"/>
      <c r="U43" s="51">
        <f>ROUND(SUM(H43:T43),5)</f>
        <v>243920.37</v>
      </c>
      <c r="V43" s="67">
        <v>281000</v>
      </c>
      <c r="W43" s="67">
        <v>319000</v>
      </c>
      <c r="X43" s="68" t="s">
        <v>207</v>
      </c>
      <c r="AB43" s="86"/>
      <c r="AC43" s="86"/>
      <c r="AD43" s="86"/>
      <c r="AE43" s="86"/>
      <c r="AF43" s="86"/>
      <c r="AG43" s="86" t="s">
        <v>107</v>
      </c>
      <c r="AH43" s="87"/>
      <c r="AI43" s="87"/>
      <c r="AJ43" s="87"/>
      <c r="AK43" s="87"/>
      <c r="AL43" s="87">
        <v>8942.48</v>
      </c>
      <c r="AM43" s="87">
        <v>16476.650000000001</v>
      </c>
      <c r="AN43" s="87">
        <v>17665.79</v>
      </c>
      <c r="AO43" s="87">
        <v>27986.11</v>
      </c>
      <c r="AP43" s="87">
        <v>14362.23</v>
      </c>
      <c r="AQ43" s="87">
        <v>14423.56</v>
      </c>
      <c r="AR43" s="87">
        <v>24698.48</v>
      </c>
      <c r="AS43" s="87">
        <v>16746.79</v>
      </c>
      <c r="AT43" s="87">
        <v>16868.52</v>
      </c>
      <c r="AU43" s="87">
        <v>25401.13</v>
      </c>
      <c r="AV43" s="87">
        <v>26898.32</v>
      </c>
      <c r="AW43" s="87">
        <v>21343.49</v>
      </c>
      <c r="AX43" s="87"/>
      <c r="AY43" s="88">
        <f t="shared" ref="AY43:AY50" si="18">ROUND(SUM(AH43:AX43),5)</f>
        <v>231813.55</v>
      </c>
      <c r="AZ43" s="88">
        <v>235000</v>
      </c>
      <c r="BA43" s="88">
        <v>281000</v>
      </c>
      <c r="BB43" s="89" t="s">
        <v>207</v>
      </c>
    </row>
    <row r="44" spans="1:54" x14ac:dyDescent="0.3">
      <c r="A44" s="50"/>
      <c r="B44" s="50"/>
      <c r="C44" s="50"/>
      <c r="D44" s="50"/>
      <c r="E44" s="50"/>
      <c r="F44" s="50"/>
      <c r="G44" s="50" t="s">
        <v>108</v>
      </c>
      <c r="H44" s="51">
        <v>0</v>
      </c>
      <c r="I44" s="51">
        <v>0</v>
      </c>
      <c r="J44" s="51">
        <v>0</v>
      </c>
      <c r="K44" s="51">
        <v>0</v>
      </c>
      <c r="L44" s="51">
        <v>0</v>
      </c>
      <c r="M44" s="51">
        <v>6280.13</v>
      </c>
      <c r="N44" s="51">
        <v>0</v>
      </c>
      <c r="O44" s="51">
        <v>0</v>
      </c>
      <c r="P44" s="51">
        <v>0</v>
      </c>
      <c r="Q44" s="51">
        <v>0</v>
      </c>
      <c r="R44" s="51">
        <v>0</v>
      </c>
      <c r="S44" s="51">
        <v>0</v>
      </c>
      <c r="T44" s="51"/>
      <c r="U44" s="51">
        <f>ROUND(SUM(H44:T44),5)</f>
        <v>6280.13</v>
      </c>
      <c r="V44" s="67">
        <v>5000</v>
      </c>
      <c r="W44" s="67">
        <v>6500</v>
      </c>
      <c r="X44" s="68" t="s">
        <v>207</v>
      </c>
      <c r="AB44" s="86"/>
      <c r="AC44" s="86"/>
      <c r="AD44" s="86"/>
      <c r="AE44" s="86"/>
      <c r="AF44" s="86"/>
      <c r="AG44" s="86" t="s">
        <v>212</v>
      </c>
      <c r="AH44" s="87"/>
      <c r="AI44" s="87"/>
      <c r="AJ44" s="87"/>
      <c r="AK44" s="87"/>
      <c r="AL44" s="87">
        <v>0</v>
      </c>
      <c r="AM44" s="87">
        <v>0</v>
      </c>
      <c r="AN44" s="87">
        <v>0</v>
      </c>
      <c r="AO44" s="87">
        <v>0</v>
      </c>
      <c r="AP44" s="87">
        <v>0</v>
      </c>
      <c r="AQ44" s="87">
        <v>0</v>
      </c>
      <c r="AR44" s="87">
        <v>0</v>
      </c>
      <c r="AS44" s="87">
        <v>0</v>
      </c>
      <c r="AT44" s="87">
        <v>0</v>
      </c>
      <c r="AU44" s="87">
        <v>0</v>
      </c>
      <c r="AV44" s="87">
        <v>0</v>
      </c>
      <c r="AW44" s="87">
        <v>0</v>
      </c>
      <c r="AX44" s="87"/>
      <c r="AY44" s="88">
        <f t="shared" si="18"/>
        <v>0</v>
      </c>
      <c r="AZ44" s="88">
        <v>43680</v>
      </c>
      <c r="BA44" s="88">
        <v>43680</v>
      </c>
      <c r="BB44" s="89" t="s">
        <v>245</v>
      </c>
    </row>
    <row r="45" spans="1:54" ht="21.6" x14ac:dyDescent="0.3">
      <c r="A45" s="50"/>
      <c r="B45" s="50"/>
      <c r="C45" s="50"/>
      <c r="D45" s="50"/>
      <c r="E45" s="50"/>
      <c r="F45" s="50"/>
      <c r="G45" s="50" t="s">
        <v>276</v>
      </c>
      <c r="H45" s="51">
        <v>0</v>
      </c>
      <c r="I45" s="51">
        <v>0</v>
      </c>
      <c r="J45" s="51">
        <v>0</v>
      </c>
      <c r="K45" s="51">
        <v>0</v>
      </c>
      <c r="L45" s="51">
        <v>0</v>
      </c>
      <c r="M45" s="51">
        <v>0</v>
      </c>
      <c r="N45" s="51">
        <v>0</v>
      </c>
      <c r="O45" s="51">
        <v>0</v>
      </c>
      <c r="P45" s="51">
        <v>0</v>
      </c>
      <c r="Q45" s="51">
        <v>0</v>
      </c>
      <c r="R45" s="51">
        <v>0</v>
      </c>
      <c r="S45" s="51">
        <v>0</v>
      </c>
      <c r="T45" s="51"/>
      <c r="U45" s="51">
        <f>ROUND(SUM(H45:T45),5)</f>
        <v>0</v>
      </c>
      <c r="V45" s="67">
        <v>5500</v>
      </c>
      <c r="W45" s="67">
        <v>0</v>
      </c>
      <c r="X45" s="68" t="s">
        <v>305</v>
      </c>
      <c r="AB45" s="86"/>
      <c r="AC45" s="86"/>
      <c r="AD45" s="86"/>
      <c r="AE45" s="86"/>
      <c r="AF45" s="86"/>
      <c r="AG45" s="86" t="s">
        <v>108</v>
      </c>
      <c r="AH45" s="87"/>
      <c r="AI45" s="87"/>
      <c r="AJ45" s="87"/>
      <c r="AK45" s="87"/>
      <c r="AL45" s="87">
        <v>0</v>
      </c>
      <c r="AM45" s="87">
        <v>0</v>
      </c>
      <c r="AN45" s="87">
        <v>0</v>
      </c>
      <c r="AO45" s="87">
        <v>0</v>
      </c>
      <c r="AP45" s="87">
        <v>0</v>
      </c>
      <c r="AQ45" s="87">
        <v>3986.45</v>
      </c>
      <c r="AR45" s="87">
        <v>0</v>
      </c>
      <c r="AS45" s="87">
        <v>0</v>
      </c>
      <c r="AT45" s="87">
        <v>0</v>
      </c>
      <c r="AU45" s="87">
        <v>6572.5</v>
      </c>
      <c r="AV45" s="87">
        <v>0</v>
      </c>
      <c r="AW45" s="87">
        <v>0</v>
      </c>
      <c r="AX45" s="87"/>
      <c r="AY45" s="88">
        <f t="shared" si="18"/>
        <v>10558.95</v>
      </c>
      <c r="AZ45" s="88">
        <v>4500</v>
      </c>
      <c r="BA45" s="88">
        <v>5000</v>
      </c>
      <c r="BB45" s="89" t="s">
        <v>207</v>
      </c>
    </row>
    <row r="46" spans="1:54" ht="15" thickBot="1" x14ac:dyDescent="0.35">
      <c r="A46" s="50"/>
      <c r="B46" s="50"/>
      <c r="C46" s="50"/>
      <c r="D46" s="50"/>
      <c r="E46" s="50"/>
      <c r="F46" s="50"/>
      <c r="G46" s="50" t="s">
        <v>109</v>
      </c>
      <c r="H46" s="52">
        <v>35.64</v>
      </c>
      <c r="I46" s="52">
        <v>35.64</v>
      </c>
      <c r="J46" s="52">
        <v>35.64</v>
      </c>
      <c r="K46" s="52">
        <v>35.64</v>
      </c>
      <c r="L46" s="52">
        <v>35.64</v>
      </c>
      <c r="M46" s="52">
        <v>35.64</v>
      </c>
      <c r="N46" s="52">
        <v>35.64</v>
      </c>
      <c r="O46" s="52">
        <v>35.64</v>
      </c>
      <c r="P46" s="52">
        <v>35.64</v>
      </c>
      <c r="Q46" s="52">
        <v>35.64</v>
      </c>
      <c r="R46" s="52">
        <v>35.64</v>
      </c>
      <c r="S46" s="52">
        <v>35.64</v>
      </c>
      <c r="T46" s="52"/>
      <c r="U46" s="52">
        <f>ROUND(SUM(H46:T46),5)</f>
        <v>427.68</v>
      </c>
      <c r="V46" s="69">
        <v>450</v>
      </c>
      <c r="W46" s="69">
        <v>450</v>
      </c>
      <c r="X46" s="68" t="s">
        <v>207</v>
      </c>
      <c r="AB46" s="86"/>
      <c r="AC46" s="86"/>
      <c r="AD46" s="86"/>
      <c r="AE46" s="86"/>
      <c r="AF46" s="86"/>
      <c r="AG46" s="86" t="s">
        <v>237</v>
      </c>
      <c r="AH46" s="87"/>
      <c r="AI46" s="87"/>
      <c r="AJ46" s="87"/>
      <c r="AK46" s="87"/>
      <c r="AL46" s="87">
        <v>0</v>
      </c>
      <c r="AM46" s="87">
        <v>0</v>
      </c>
      <c r="AN46" s="87">
        <v>0</v>
      </c>
      <c r="AO46" s="87">
        <v>0</v>
      </c>
      <c r="AP46" s="87">
        <v>0</v>
      </c>
      <c r="AQ46" s="87">
        <v>0</v>
      </c>
      <c r="AR46" s="87">
        <v>0</v>
      </c>
      <c r="AS46" s="87">
        <v>0</v>
      </c>
      <c r="AT46" s="87">
        <v>0</v>
      </c>
      <c r="AU46" s="87">
        <v>0</v>
      </c>
      <c r="AV46" s="87">
        <v>0</v>
      </c>
      <c r="AW46" s="87">
        <v>0</v>
      </c>
      <c r="AX46" s="87"/>
      <c r="AY46" s="88">
        <f t="shared" si="18"/>
        <v>0</v>
      </c>
      <c r="AZ46" s="88">
        <v>5100</v>
      </c>
      <c r="BA46" s="88">
        <v>5500</v>
      </c>
      <c r="BB46" s="89" t="s">
        <v>207</v>
      </c>
    </row>
    <row r="47" spans="1:54" ht="15" thickBot="1" x14ac:dyDescent="0.35">
      <c r="A47" s="50"/>
      <c r="B47" s="50"/>
      <c r="C47" s="50"/>
      <c r="D47" s="50"/>
      <c r="E47" s="50"/>
      <c r="F47" s="50" t="s">
        <v>110</v>
      </c>
      <c r="G47" s="50"/>
      <c r="H47" s="51">
        <f t="shared" ref="H47:S47" si="19">ROUND(SUM(H42:H46),5)</f>
        <v>8808.32</v>
      </c>
      <c r="I47" s="51">
        <f t="shared" si="19"/>
        <v>17329.8</v>
      </c>
      <c r="J47" s="51">
        <f t="shared" si="19"/>
        <v>20635.86</v>
      </c>
      <c r="K47" s="51">
        <f t="shared" si="19"/>
        <v>23023.34</v>
      </c>
      <c r="L47" s="51">
        <f t="shared" si="19"/>
        <v>15880.78</v>
      </c>
      <c r="M47" s="51">
        <f t="shared" si="19"/>
        <v>24390.73</v>
      </c>
      <c r="N47" s="51">
        <f t="shared" si="19"/>
        <v>35651.15</v>
      </c>
      <c r="O47" s="51">
        <f t="shared" si="19"/>
        <v>18420.349999999999</v>
      </c>
      <c r="P47" s="51">
        <f t="shared" si="19"/>
        <v>18331.54</v>
      </c>
      <c r="Q47" s="51">
        <f t="shared" si="19"/>
        <v>27613.21</v>
      </c>
      <c r="R47" s="51">
        <f t="shared" si="19"/>
        <v>18519.61</v>
      </c>
      <c r="S47" s="51">
        <f t="shared" si="19"/>
        <v>22023.49</v>
      </c>
      <c r="T47" s="51"/>
      <c r="U47" s="51">
        <f>ROUND(SUM(H47:T47),5)</f>
        <v>250628.18</v>
      </c>
      <c r="V47" s="51">
        <f>ROUND(SUM(V42:V46),5)</f>
        <v>291950</v>
      </c>
      <c r="W47" s="51">
        <f>ROUND(SUM(W42:W46),5)</f>
        <v>325950</v>
      </c>
      <c r="AB47" s="86"/>
      <c r="AC47" s="86"/>
      <c r="AD47" s="86"/>
      <c r="AE47" s="86"/>
      <c r="AF47" s="86"/>
      <c r="AG47" s="86" t="s">
        <v>109</v>
      </c>
      <c r="AH47" s="90"/>
      <c r="AI47" s="90"/>
      <c r="AJ47" s="90"/>
      <c r="AK47" s="90"/>
      <c r="AL47" s="90">
        <v>35.64</v>
      </c>
      <c r="AM47" s="90">
        <v>35.64</v>
      </c>
      <c r="AN47" s="90">
        <v>35.64</v>
      </c>
      <c r="AO47" s="90">
        <v>35.64</v>
      </c>
      <c r="AP47" s="90">
        <v>35.64</v>
      </c>
      <c r="AQ47" s="90">
        <v>35.64</v>
      </c>
      <c r="AR47" s="90">
        <v>35.64</v>
      </c>
      <c r="AS47" s="90">
        <v>35.64</v>
      </c>
      <c r="AT47" s="90">
        <v>35.64</v>
      </c>
      <c r="AU47" s="90">
        <v>35.64</v>
      </c>
      <c r="AV47" s="90">
        <v>35.64</v>
      </c>
      <c r="AW47" s="90">
        <v>35.64</v>
      </c>
      <c r="AX47" s="90"/>
      <c r="AY47" s="91">
        <f t="shared" si="18"/>
        <v>427.68</v>
      </c>
      <c r="AZ47" s="91">
        <v>450</v>
      </c>
      <c r="BA47" s="91">
        <v>450</v>
      </c>
      <c r="BB47" s="92"/>
    </row>
    <row r="48" spans="1:54" x14ac:dyDescent="0.3">
      <c r="A48" s="50"/>
      <c r="B48" s="50"/>
      <c r="C48" s="50"/>
      <c r="D48" s="50"/>
      <c r="E48" s="50"/>
      <c r="F48" s="50"/>
      <c r="G48" s="50"/>
      <c r="H48" s="51"/>
      <c r="I48" s="51"/>
      <c r="J48" s="51"/>
      <c r="K48" s="51"/>
      <c r="L48" s="51"/>
      <c r="M48" s="51"/>
      <c r="N48" s="51"/>
      <c r="O48" s="51"/>
      <c r="P48" s="51"/>
      <c r="Q48" s="51"/>
      <c r="R48" s="51"/>
      <c r="S48" s="51"/>
      <c r="T48" s="51"/>
      <c r="U48" s="51"/>
      <c r="V48" s="51"/>
      <c r="W48" s="51"/>
      <c r="AB48" s="86"/>
      <c r="AC48" s="86"/>
      <c r="AD48" s="86"/>
      <c r="AE48" s="86"/>
      <c r="AF48" s="86"/>
      <c r="AG48" s="86"/>
      <c r="AH48" s="87"/>
      <c r="AI48" s="87"/>
      <c r="AJ48" s="87"/>
      <c r="AK48" s="87"/>
      <c r="AL48" s="87"/>
      <c r="AM48" s="87"/>
      <c r="AN48" s="87"/>
      <c r="AO48" s="87"/>
      <c r="AP48" s="87"/>
      <c r="AQ48" s="87"/>
      <c r="AR48" s="87"/>
      <c r="AS48" s="87"/>
      <c r="AT48" s="87"/>
      <c r="AU48" s="87"/>
      <c r="AV48" s="87"/>
      <c r="AW48" s="87"/>
      <c r="AX48" s="87"/>
      <c r="AY48" s="88"/>
      <c r="AZ48" s="88"/>
      <c r="BA48" s="88"/>
      <c r="BB48" s="89"/>
    </row>
    <row r="49" spans="1:54" x14ac:dyDescent="0.3">
      <c r="A49" s="50"/>
      <c r="B49" s="50"/>
      <c r="C49" s="50"/>
      <c r="D49" s="50"/>
      <c r="E49" s="50"/>
      <c r="F49" s="50"/>
      <c r="G49" s="50"/>
      <c r="H49" s="51"/>
      <c r="I49" s="51"/>
      <c r="J49" s="51"/>
      <c r="K49" s="51"/>
      <c r="L49" s="51"/>
      <c r="M49" s="51"/>
      <c r="N49" s="51"/>
      <c r="O49" s="51"/>
      <c r="P49" s="51"/>
      <c r="Q49" s="51"/>
      <c r="R49" s="51"/>
      <c r="S49" s="51"/>
      <c r="T49" s="51"/>
      <c r="U49" s="51"/>
      <c r="V49" s="51"/>
      <c r="W49" s="51"/>
      <c r="AB49" s="86"/>
      <c r="AC49" s="86"/>
      <c r="AD49" s="86"/>
      <c r="AE49" s="86"/>
      <c r="AF49" s="86"/>
      <c r="AG49" s="86"/>
      <c r="AH49" s="87"/>
      <c r="AI49" s="87"/>
      <c r="AJ49" s="87"/>
      <c r="AK49" s="87"/>
      <c r="AL49" s="87"/>
      <c r="AM49" s="87"/>
      <c r="AN49" s="87"/>
      <c r="AO49" s="87"/>
      <c r="AP49" s="87"/>
      <c r="AQ49" s="87"/>
      <c r="AR49" s="87"/>
      <c r="AS49" s="87"/>
      <c r="AT49" s="87"/>
      <c r="AU49" s="87"/>
      <c r="AV49" s="87"/>
      <c r="AW49" s="87"/>
      <c r="AX49" s="87"/>
      <c r="AY49" s="88"/>
      <c r="AZ49" s="88"/>
      <c r="BA49" s="88"/>
      <c r="BB49" s="89"/>
    </row>
    <row r="50" spans="1:54" x14ac:dyDescent="0.3">
      <c r="A50" s="50"/>
      <c r="B50" s="50"/>
      <c r="C50" s="50"/>
      <c r="D50" s="50"/>
      <c r="E50" s="50"/>
      <c r="F50" s="50" t="s">
        <v>277</v>
      </c>
      <c r="G50" s="50"/>
      <c r="H50" s="51"/>
      <c r="I50" s="51"/>
      <c r="J50" s="51"/>
      <c r="K50" s="51"/>
      <c r="L50" s="51"/>
      <c r="M50" s="51"/>
      <c r="N50" s="51"/>
      <c r="O50" s="51"/>
      <c r="P50" s="51"/>
      <c r="Q50" s="51"/>
      <c r="R50" s="51"/>
      <c r="S50" s="51"/>
      <c r="T50" s="51"/>
      <c r="U50" s="51"/>
      <c r="V50" s="51"/>
      <c r="W50" s="51"/>
      <c r="AB50" s="86"/>
      <c r="AC50" s="86"/>
      <c r="AD50" s="86"/>
      <c r="AE50" s="86"/>
      <c r="AF50" s="86" t="s">
        <v>110</v>
      </c>
      <c r="AG50" s="86"/>
      <c r="AH50" s="87"/>
      <c r="AI50" s="87"/>
      <c r="AJ50" s="87"/>
      <c r="AK50" s="87"/>
      <c r="AL50" s="87">
        <f t="shared" ref="AL50:AW50" si="20">ROUND(SUM(AL42:AL47),5)</f>
        <v>8978.1200000000008</v>
      </c>
      <c r="AM50" s="87">
        <f t="shared" si="20"/>
        <v>16512.29</v>
      </c>
      <c r="AN50" s="87">
        <f t="shared" si="20"/>
        <v>17701.43</v>
      </c>
      <c r="AO50" s="87">
        <f t="shared" si="20"/>
        <v>28021.75</v>
      </c>
      <c r="AP50" s="87">
        <f t="shared" si="20"/>
        <v>14397.87</v>
      </c>
      <c r="AQ50" s="87">
        <f t="shared" si="20"/>
        <v>18445.650000000001</v>
      </c>
      <c r="AR50" s="87">
        <f t="shared" si="20"/>
        <v>24734.12</v>
      </c>
      <c r="AS50" s="87">
        <f t="shared" si="20"/>
        <v>16782.43</v>
      </c>
      <c r="AT50" s="87">
        <f t="shared" si="20"/>
        <v>16904.16</v>
      </c>
      <c r="AU50" s="87">
        <f t="shared" si="20"/>
        <v>32009.27</v>
      </c>
      <c r="AV50" s="87">
        <f t="shared" si="20"/>
        <v>26933.96</v>
      </c>
      <c r="AW50" s="87">
        <f t="shared" si="20"/>
        <v>21379.13</v>
      </c>
      <c r="AX50" s="87"/>
      <c r="AY50" s="88">
        <f t="shared" si="18"/>
        <v>242800.18</v>
      </c>
      <c r="AZ50" s="88">
        <f>ROUND(SUM(AZ42:AZ47),5)</f>
        <v>288730</v>
      </c>
      <c r="BA50" s="88">
        <f>ROUND(SUM(BA42:BA47),5)</f>
        <v>335630</v>
      </c>
      <c r="BB50" s="89"/>
    </row>
    <row r="51" spans="1:54" ht="15" thickBot="1" x14ac:dyDescent="0.35">
      <c r="A51" s="50"/>
      <c r="B51" s="50"/>
      <c r="C51" s="50"/>
      <c r="D51" s="50"/>
      <c r="E51" s="50"/>
      <c r="F51" s="50"/>
      <c r="G51" s="50" t="s">
        <v>212</v>
      </c>
      <c r="H51" s="52">
        <v>0</v>
      </c>
      <c r="I51" s="52">
        <v>0</v>
      </c>
      <c r="J51" s="52">
        <v>0</v>
      </c>
      <c r="K51" s="52">
        <v>1254.4000000000001</v>
      </c>
      <c r="L51" s="52">
        <v>851.2</v>
      </c>
      <c r="M51" s="52">
        <v>0</v>
      </c>
      <c r="N51" s="52">
        <v>0</v>
      </c>
      <c r="O51" s="52">
        <v>0</v>
      </c>
      <c r="P51" s="52">
        <v>0</v>
      </c>
      <c r="Q51" s="52">
        <v>0</v>
      </c>
      <c r="R51" s="52">
        <v>0</v>
      </c>
      <c r="S51" s="52">
        <v>0</v>
      </c>
      <c r="T51" s="52"/>
      <c r="U51" s="52">
        <f>ROUND(SUM(H51:T51),5)</f>
        <v>2105.6</v>
      </c>
      <c r="V51" s="52">
        <v>43680</v>
      </c>
      <c r="W51" s="52">
        <v>0</v>
      </c>
      <c r="X51" s="68" t="s">
        <v>297</v>
      </c>
      <c r="AB51" s="86"/>
      <c r="AC51" s="86"/>
      <c r="AD51" s="86"/>
      <c r="AE51" s="86"/>
      <c r="AF51" s="86"/>
      <c r="AG51" s="86"/>
      <c r="AH51" s="87"/>
      <c r="AI51" s="87"/>
      <c r="AJ51" s="87"/>
      <c r="AK51" s="87"/>
      <c r="AL51" s="87"/>
      <c r="AM51" s="87"/>
      <c r="AN51" s="87"/>
      <c r="AO51" s="87"/>
      <c r="AP51" s="87"/>
      <c r="AQ51" s="87"/>
      <c r="AR51" s="87"/>
      <c r="AS51" s="87"/>
      <c r="AT51" s="87"/>
      <c r="AU51" s="87"/>
      <c r="AV51" s="87"/>
      <c r="AW51" s="87"/>
      <c r="AX51" s="87"/>
      <c r="AY51" s="88"/>
      <c r="AZ51" s="88"/>
      <c r="BA51" s="88"/>
      <c r="BB51" s="89"/>
    </row>
    <row r="52" spans="1:54" x14ac:dyDescent="0.3">
      <c r="A52" s="50"/>
      <c r="B52" s="50"/>
      <c r="C52" s="50"/>
      <c r="D52" s="50"/>
      <c r="E52" s="50"/>
      <c r="F52" s="50" t="s">
        <v>278</v>
      </c>
      <c r="G52" s="50"/>
      <c r="H52" s="51">
        <f t="shared" ref="H52:P52" si="21">ROUND(SUM(H50:H51),5)</f>
        <v>0</v>
      </c>
      <c r="I52" s="51">
        <f t="shared" si="21"/>
        <v>0</v>
      </c>
      <c r="J52" s="51">
        <f t="shared" si="21"/>
        <v>0</v>
      </c>
      <c r="K52" s="51">
        <f t="shared" si="21"/>
        <v>1254.4000000000001</v>
      </c>
      <c r="L52" s="51">
        <f t="shared" si="21"/>
        <v>851.2</v>
      </c>
      <c r="M52" s="51">
        <f t="shared" si="21"/>
        <v>0</v>
      </c>
      <c r="N52" s="51">
        <f t="shared" si="21"/>
        <v>0</v>
      </c>
      <c r="O52" s="51">
        <f t="shared" si="21"/>
        <v>0</v>
      </c>
      <c r="P52" s="51">
        <f t="shared" si="21"/>
        <v>0</v>
      </c>
      <c r="Q52" s="51">
        <f>ROUND(SUM(Q50:Q51),5)</f>
        <v>0</v>
      </c>
      <c r="R52" s="51">
        <f>ROUND(SUM(R50:R51),5)</f>
        <v>0</v>
      </c>
      <c r="S52" s="51">
        <f>ROUND(SUM(S50:S51),5)</f>
        <v>0</v>
      </c>
      <c r="T52" s="51"/>
      <c r="U52" s="51">
        <f>ROUND(SUM(H52:T52),5)</f>
        <v>2105.6</v>
      </c>
      <c r="V52" s="51">
        <f>ROUND(SUM(V50:V51),5)</f>
        <v>43680</v>
      </c>
      <c r="W52" s="51">
        <f>ROUND(SUM(W50:W51),5)</f>
        <v>0</v>
      </c>
      <c r="AB52" s="86"/>
      <c r="AC52" s="86"/>
      <c r="AD52" s="86"/>
      <c r="AE52" s="86"/>
      <c r="AF52" s="86"/>
      <c r="AG52" s="86"/>
      <c r="AH52" s="87"/>
      <c r="AI52" s="87"/>
      <c r="AJ52" s="87"/>
      <c r="AK52" s="87"/>
      <c r="AL52" s="87"/>
      <c r="AM52" s="87"/>
      <c r="AN52" s="87"/>
      <c r="AO52" s="87"/>
      <c r="AP52" s="87"/>
      <c r="AQ52" s="87"/>
      <c r="AR52" s="87"/>
      <c r="AS52" s="87"/>
      <c r="AT52" s="87"/>
      <c r="AU52" s="87"/>
      <c r="AV52" s="87"/>
      <c r="AW52" s="87"/>
      <c r="AX52" s="87"/>
      <c r="AY52" s="88"/>
      <c r="AZ52" s="88"/>
      <c r="BA52" s="88"/>
      <c r="BB52" s="89"/>
    </row>
    <row r="53" spans="1:54" x14ac:dyDescent="0.3">
      <c r="A53" s="50"/>
      <c r="B53" s="50"/>
      <c r="C53" s="50"/>
      <c r="D53" s="50"/>
      <c r="E53" s="50"/>
      <c r="F53" s="50" t="s">
        <v>111</v>
      </c>
      <c r="G53" s="50"/>
      <c r="H53" s="51"/>
      <c r="I53" s="51"/>
      <c r="J53" s="51"/>
      <c r="K53" s="51"/>
      <c r="L53" s="51"/>
      <c r="M53" s="51"/>
      <c r="N53" s="51"/>
      <c r="O53" s="51"/>
      <c r="P53" s="51"/>
      <c r="Q53" s="51"/>
      <c r="R53" s="51"/>
      <c r="S53" s="51"/>
      <c r="T53" s="51"/>
      <c r="U53" s="51"/>
      <c r="V53" s="51"/>
      <c r="W53" s="51"/>
      <c r="AB53" s="86"/>
      <c r="AC53" s="86"/>
      <c r="AD53" s="86"/>
      <c r="AE53" s="86"/>
      <c r="AF53" s="86" t="s">
        <v>111</v>
      </c>
      <c r="AG53" s="86"/>
      <c r="AH53" s="87"/>
      <c r="AI53" s="87"/>
      <c r="AJ53" s="87"/>
      <c r="AK53" s="87"/>
      <c r="AL53" s="87"/>
      <c r="AM53" s="87"/>
      <c r="AN53" s="87"/>
      <c r="AO53" s="87"/>
      <c r="AP53" s="87"/>
      <c r="AQ53" s="87"/>
      <c r="AR53" s="87"/>
      <c r="AS53" s="87"/>
      <c r="AT53" s="87"/>
      <c r="AU53" s="87"/>
      <c r="AV53" s="87"/>
      <c r="AW53" s="87"/>
      <c r="AX53" s="87"/>
      <c r="AY53" s="88"/>
      <c r="AZ53" s="88"/>
      <c r="BA53" s="88"/>
      <c r="BB53" s="89"/>
    </row>
    <row r="54" spans="1:54" x14ac:dyDescent="0.3">
      <c r="A54" s="50"/>
      <c r="B54" s="50"/>
      <c r="C54" s="50"/>
      <c r="D54" s="50"/>
      <c r="E54" s="50"/>
      <c r="F54" s="50"/>
      <c r="G54" s="50" t="s">
        <v>112</v>
      </c>
      <c r="H54" s="51">
        <v>1363.28</v>
      </c>
      <c r="I54" s="51">
        <v>1867.01</v>
      </c>
      <c r="J54" s="51">
        <v>656.6</v>
      </c>
      <c r="K54" s="51">
        <v>1950.84</v>
      </c>
      <c r="L54" s="51">
        <v>1313.48</v>
      </c>
      <c r="M54" s="51">
        <v>1320.95</v>
      </c>
      <c r="N54" s="51">
        <v>1321.44</v>
      </c>
      <c r="O54" s="51">
        <v>1329.6</v>
      </c>
      <c r="P54" s="51">
        <v>1319.97</v>
      </c>
      <c r="Q54" s="51">
        <v>1985.98</v>
      </c>
      <c r="R54" s="51">
        <v>1328.89</v>
      </c>
      <c r="S54" s="51">
        <v>1197.02</v>
      </c>
      <c r="T54" s="51"/>
      <c r="U54" s="51">
        <f>ROUND(SUM(H54:T54),5)</f>
        <v>16955.060000000001</v>
      </c>
      <c r="V54" s="51">
        <v>21000</v>
      </c>
      <c r="W54" s="51">
        <v>23500</v>
      </c>
      <c r="X54" s="68" t="s">
        <v>207</v>
      </c>
      <c r="AB54" s="86"/>
      <c r="AC54" s="86"/>
      <c r="AD54" s="86"/>
      <c r="AE54" s="86"/>
      <c r="AF54" s="86"/>
      <c r="AG54" s="86" t="s">
        <v>112</v>
      </c>
      <c r="AH54" s="87"/>
      <c r="AI54" s="87"/>
      <c r="AJ54" s="87"/>
      <c r="AK54" s="87"/>
      <c r="AL54" s="87">
        <v>1292.3</v>
      </c>
      <c r="AM54" s="87">
        <v>1764.12</v>
      </c>
      <c r="AN54" s="87">
        <v>589.02</v>
      </c>
      <c r="AO54" s="87">
        <v>2195.9699999999998</v>
      </c>
      <c r="AP54" s="87">
        <v>1217.4100000000001</v>
      </c>
      <c r="AQ54" s="87">
        <v>1220.48</v>
      </c>
      <c r="AR54" s="87">
        <v>1228.23</v>
      </c>
      <c r="AS54" s="87">
        <v>1225.46</v>
      </c>
      <c r="AT54" s="87">
        <v>1234.52</v>
      </c>
      <c r="AU54" s="87">
        <v>1839.28</v>
      </c>
      <c r="AV54" s="87">
        <v>1239.45</v>
      </c>
      <c r="AW54" s="87">
        <v>1365.34</v>
      </c>
      <c r="AX54" s="87"/>
      <c r="AY54" s="88">
        <f>ROUND(SUM(AH54:AX54),5)</f>
        <v>16411.580000000002</v>
      </c>
      <c r="AZ54" s="88">
        <v>16100</v>
      </c>
      <c r="BA54" s="88">
        <v>21000</v>
      </c>
      <c r="BB54" s="89" t="s">
        <v>207</v>
      </c>
    </row>
    <row r="55" spans="1:54" ht="15" thickBot="1" x14ac:dyDescent="0.35">
      <c r="A55" s="50"/>
      <c r="B55" s="50"/>
      <c r="C55" s="50"/>
      <c r="D55" s="50"/>
      <c r="E55" s="50"/>
      <c r="F55" s="50"/>
      <c r="G55" s="50" t="s">
        <v>113</v>
      </c>
      <c r="H55" s="52">
        <v>0</v>
      </c>
      <c r="I55" s="52">
        <v>626.04</v>
      </c>
      <c r="J55" s="52">
        <v>-626.04</v>
      </c>
      <c r="K55" s="52">
        <v>0</v>
      </c>
      <c r="L55" s="52">
        <v>0</v>
      </c>
      <c r="M55" s="52">
        <v>0</v>
      </c>
      <c r="N55" s="52">
        <v>0</v>
      </c>
      <c r="O55" s="52">
        <v>0</v>
      </c>
      <c r="P55" s="52">
        <v>0</v>
      </c>
      <c r="Q55" s="52">
        <v>0</v>
      </c>
      <c r="R55" s="52">
        <v>0</v>
      </c>
      <c r="S55" s="52">
        <v>0</v>
      </c>
      <c r="T55" s="52"/>
      <c r="U55" s="52">
        <f>ROUND(SUM(H55:T55),5)</f>
        <v>0</v>
      </c>
      <c r="V55" s="52">
        <v>0</v>
      </c>
      <c r="W55" s="52">
        <v>0</v>
      </c>
      <c r="AB55" s="86"/>
      <c r="AC55" s="86"/>
      <c r="AD55" s="86"/>
      <c r="AE55" s="86"/>
      <c r="AF55" s="86"/>
      <c r="AG55" s="86" t="s">
        <v>113</v>
      </c>
      <c r="AH55" s="90"/>
      <c r="AI55" s="90"/>
      <c r="AJ55" s="90"/>
      <c r="AK55" s="90"/>
      <c r="AL55" s="90">
        <v>126.98</v>
      </c>
      <c r="AM55" s="90">
        <v>589.03</v>
      </c>
      <c r="AN55" s="90">
        <v>-589.03</v>
      </c>
      <c r="AO55" s="90">
        <v>0</v>
      </c>
      <c r="AP55" s="90">
        <v>0</v>
      </c>
      <c r="AQ55" s="90">
        <v>0</v>
      </c>
      <c r="AR55" s="90">
        <v>0</v>
      </c>
      <c r="AS55" s="90">
        <v>0</v>
      </c>
      <c r="AT55" s="90">
        <v>0</v>
      </c>
      <c r="AU55" s="90">
        <v>0</v>
      </c>
      <c r="AV55" s="90">
        <v>0</v>
      </c>
      <c r="AW55" s="90">
        <v>-126.98</v>
      </c>
      <c r="AX55" s="90"/>
      <c r="AY55" s="91">
        <f>ROUND(SUM(AH55:AX55),5)</f>
        <v>0</v>
      </c>
      <c r="AZ55" s="91">
        <v>0</v>
      </c>
      <c r="BA55" s="91">
        <v>0</v>
      </c>
      <c r="BB55" s="92"/>
    </row>
    <row r="56" spans="1:54" x14ac:dyDescent="0.3">
      <c r="A56" s="50"/>
      <c r="B56" s="50"/>
      <c r="C56" s="50"/>
      <c r="D56" s="50"/>
      <c r="E56" s="50"/>
      <c r="F56" s="50" t="s">
        <v>114</v>
      </c>
      <c r="G56" s="50"/>
      <c r="H56" s="51">
        <f t="shared" ref="H56:P56" si="22">ROUND(SUM(H53:H55),5)</f>
        <v>1363.28</v>
      </c>
      <c r="I56" s="51">
        <f t="shared" si="22"/>
        <v>2493.0500000000002</v>
      </c>
      <c r="J56" s="51">
        <f t="shared" si="22"/>
        <v>30.56</v>
      </c>
      <c r="K56" s="51">
        <f t="shared" si="22"/>
        <v>1950.84</v>
      </c>
      <c r="L56" s="51">
        <f t="shared" si="22"/>
        <v>1313.48</v>
      </c>
      <c r="M56" s="51">
        <f t="shared" si="22"/>
        <v>1320.95</v>
      </c>
      <c r="N56" s="51">
        <f t="shared" si="22"/>
        <v>1321.44</v>
      </c>
      <c r="O56" s="51">
        <f t="shared" si="22"/>
        <v>1329.6</v>
      </c>
      <c r="P56" s="51">
        <f t="shared" si="22"/>
        <v>1319.97</v>
      </c>
      <c r="Q56" s="51">
        <f>ROUND(SUM(Q53:Q55),5)</f>
        <v>1985.98</v>
      </c>
      <c r="R56" s="51">
        <f>ROUND(SUM(R53:R55),5)</f>
        <v>1328.89</v>
      </c>
      <c r="S56" s="51">
        <f>ROUND(SUM(S53:S55),5)</f>
        <v>1197.02</v>
      </c>
      <c r="T56" s="51"/>
      <c r="U56" s="51">
        <f>ROUND(SUM(H56:T56),5)</f>
        <v>16955.060000000001</v>
      </c>
      <c r="V56" s="51">
        <f>ROUND(SUM(V53:V55),5)</f>
        <v>21000</v>
      </c>
      <c r="W56" s="51">
        <f>ROUND(SUM(W53:W55),5)</f>
        <v>23500</v>
      </c>
      <c r="AB56" s="86"/>
      <c r="AC56" s="86"/>
      <c r="AD56" s="86"/>
      <c r="AE56" s="86"/>
      <c r="AF56" s="86" t="s">
        <v>114</v>
      </c>
      <c r="AG56" s="86"/>
      <c r="AH56" s="87"/>
      <c r="AI56" s="87"/>
      <c r="AJ56" s="87"/>
      <c r="AK56" s="87"/>
      <c r="AL56" s="87">
        <f t="shared" ref="AL56:AW56" si="23">ROUND(SUM(AL53:AL55),5)</f>
        <v>1419.28</v>
      </c>
      <c r="AM56" s="87">
        <f t="shared" si="23"/>
        <v>2353.15</v>
      </c>
      <c r="AN56" s="87">
        <f t="shared" si="23"/>
        <v>-0.01</v>
      </c>
      <c r="AO56" s="87">
        <f t="shared" si="23"/>
        <v>2195.9699999999998</v>
      </c>
      <c r="AP56" s="87">
        <f t="shared" si="23"/>
        <v>1217.4100000000001</v>
      </c>
      <c r="AQ56" s="87">
        <f t="shared" si="23"/>
        <v>1220.48</v>
      </c>
      <c r="AR56" s="87">
        <f t="shared" si="23"/>
        <v>1228.23</v>
      </c>
      <c r="AS56" s="87">
        <f t="shared" si="23"/>
        <v>1225.46</v>
      </c>
      <c r="AT56" s="87">
        <f t="shared" si="23"/>
        <v>1234.52</v>
      </c>
      <c r="AU56" s="87">
        <f t="shared" si="23"/>
        <v>1839.28</v>
      </c>
      <c r="AV56" s="87">
        <f t="shared" si="23"/>
        <v>1239.45</v>
      </c>
      <c r="AW56" s="87">
        <f t="shared" si="23"/>
        <v>1238.3599999999999</v>
      </c>
      <c r="AX56" s="87"/>
      <c r="AY56" s="88">
        <f>ROUND(SUM(AH56:AX56),5)</f>
        <v>16411.580000000002</v>
      </c>
      <c r="AZ56" s="88">
        <f>ROUND(SUM(AZ53:AZ55),5)</f>
        <v>16100</v>
      </c>
      <c r="BA56" s="88">
        <f>ROUND(SUM(BA53:BA55),5)</f>
        <v>21000</v>
      </c>
      <c r="BB56" s="89"/>
    </row>
    <row r="57" spans="1:54" x14ac:dyDescent="0.3">
      <c r="A57" s="50"/>
      <c r="B57" s="50"/>
      <c r="C57" s="50"/>
      <c r="D57" s="50"/>
      <c r="E57" s="50"/>
      <c r="F57" s="50" t="s">
        <v>115</v>
      </c>
      <c r="G57" s="50"/>
      <c r="H57" s="51"/>
      <c r="I57" s="51"/>
      <c r="J57" s="51"/>
      <c r="K57" s="51"/>
      <c r="L57" s="51"/>
      <c r="M57" s="51"/>
      <c r="N57" s="51"/>
      <c r="O57" s="51"/>
      <c r="P57" s="51"/>
      <c r="Q57" s="51"/>
      <c r="R57" s="51"/>
      <c r="S57" s="51"/>
      <c r="T57" s="51"/>
      <c r="U57" s="51"/>
      <c r="V57" s="51"/>
      <c r="W57" s="51"/>
      <c r="AB57" s="86"/>
      <c r="AC57" s="86"/>
      <c r="AD57" s="86"/>
      <c r="AE57" s="86"/>
      <c r="AF57" s="86" t="s">
        <v>115</v>
      </c>
      <c r="AG57" s="86"/>
      <c r="AH57" s="87"/>
      <c r="AI57" s="87"/>
      <c r="AJ57" s="87"/>
      <c r="AK57" s="87"/>
      <c r="AL57" s="87"/>
      <c r="AM57" s="87"/>
      <c r="AN57" s="87"/>
      <c r="AO57" s="87"/>
      <c r="AP57" s="87"/>
      <c r="AQ57" s="87"/>
      <c r="AR57" s="87"/>
      <c r="AS57" s="87"/>
      <c r="AT57" s="87"/>
      <c r="AU57" s="87"/>
      <c r="AV57" s="87"/>
      <c r="AW57" s="87"/>
      <c r="AX57" s="87"/>
      <c r="AY57" s="88"/>
      <c r="AZ57" s="88"/>
      <c r="BA57" s="88"/>
      <c r="BB57" s="89"/>
    </row>
    <row r="58" spans="1:54" ht="21.6" x14ac:dyDescent="0.3">
      <c r="A58" s="50"/>
      <c r="B58" s="50"/>
      <c r="C58" s="50"/>
      <c r="D58" s="50"/>
      <c r="E58" s="50"/>
      <c r="F58" s="50"/>
      <c r="G58" s="50" t="s">
        <v>116</v>
      </c>
      <c r="H58" s="51">
        <v>543.91</v>
      </c>
      <c r="I58" s="51">
        <v>1118.73</v>
      </c>
      <c r="J58" s="51">
        <v>1323.72</v>
      </c>
      <c r="K58" s="51">
        <v>1471.73</v>
      </c>
      <c r="L58" s="51">
        <v>1019.6</v>
      </c>
      <c r="M58" s="51">
        <v>1547.22</v>
      </c>
      <c r="N58" s="51">
        <v>2208.17</v>
      </c>
      <c r="O58" s="51">
        <v>1186.3499999999999</v>
      </c>
      <c r="P58" s="51">
        <v>1171.55</v>
      </c>
      <c r="Q58" s="51">
        <v>1756.31</v>
      </c>
      <c r="R58" s="51">
        <v>1192.5</v>
      </c>
      <c r="S58" s="51">
        <v>1929.56</v>
      </c>
      <c r="T58" s="51"/>
      <c r="U58" s="51">
        <f>ROUND(SUM(H58:T58),5)</f>
        <v>16469.349999999999</v>
      </c>
      <c r="V58" s="51">
        <v>18771</v>
      </c>
      <c r="W58" s="51">
        <v>21500</v>
      </c>
      <c r="X58" s="68" t="s">
        <v>208</v>
      </c>
      <c r="AB58" s="86"/>
      <c r="AC58" s="86"/>
      <c r="AD58" s="86"/>
      <c r="AE58" s="86"/>
      <c r="AF58" s="86"/>
      <c r="AG58" s="86" t="s">
        <v>116</v>
      </c>
      <c r="AH58" s="87"/>
      <c r="AI58" s="87"/>
      <c r="AJ58" s="87"/>
      <c r="AK58" s="87"/>
      <c r="AL58" s="87">
        <v>559.08000000000004</v>
      </c>
      <c r="AM58" s="87">
        <v>1068.06</v>
      </c>
      <c r="AN58" s="87">
        <v>1141.78</v>
      </c>
      <c r="AO58" s="87">
        <v>1828.14</v>
      </c>
      <c r="AP58" s="87">
        <v>890.47</v>
      </c>
      <c r="AQ58" s="87">
        <v>1187.93</v>
      </c>
      <c r="AR58" s="87">
        <v>1531.32</v>
      </c>
      <c r="AS58" s="87">
        <v>1084.8</v>
      </c>
      <c r="AT58" s="87">
        <v>1092.3599999999999</v>
      </c>
      <c r="AU58" s="87">
        <v>2075.37</v>
      </c>
      <c r="AV58" s="87">
        <v>1667.7</v>
      </c>
      <c r="AW58" s="87">
        <v>1411.65</v>
      </c>
      <c r="AX58" s="87"/>
      <c r="AY58" s="88">
        <f>ROUND(SUM(AH58:AX58),5)</f>
        <v>15538.66</v>
      </c>
      <c r="AZ58" s="88">
        <v>19000</v>
      </c>
      <c r="BA58" s="88">
        <f>ROUND((BA43+BA45+BA46+BA93)*0.062,0)</f>
        <v>18771</v>
      </c>
      <c r="BB58" s="89" t="s">
        <v>208</v>
      </c>
    </row>
    <row r="59" spans="1:54" ht="22.2" thickBot="1" x14ac:dyDescent="0.35">
      <c r="A59" s="50"/>
      <c r="B59" s="50"/>
      <c r="C59" s="50"/>
      <c r="D59" s="50"/>
      <c r="E59" s="50"/>
      <c r="F59" s="50"/>
      <c r="G59" s="50" t="s">
        <v>117</v>
      </c>
      <c r="H59" s="52">
        <v>127.2</v>
      </c>
      <c r="I59" s="52">
        <v>261.66000000000003</v>
      </c>
      <c r="J59" s="52">
        <v>309.60000000000002</v>
      </c>
      <c r="K59" s="52">
        <v>344.23</v>
      </c>
      <c r="L59" s="52">
        <v>238.47</v>
      </c>
      <c r="M59" s="52">
        <v>361.87</v>
      </c>
      <c r="N59" s="52">
        <v>516.42999999999995</v>
      </c>
      <c r="O59" s="52">
        <v>277.47000000000003</v>
      </c>
      <c r="P59" s="52">
        <v>274.01</v>
      </c>
      <c r="Q59" s="52">
        <v>410.79</v>
      </c>
      <c r="R59" s="52">
        <v>278.92</v>
      </c>
      <c r="S59" s="52">
        <v>451.33</v>
      </c>
      <c r="T59" s="52"/>
      <c r="U59" s="52">
        <f>ROUND(SUM(H59:T59),5)</f>
        <v>3851.98</v>
      </c>
      <c r="V59" s="52">
        <v>4390</v>
      </c>
      <c r="W59" s="52">
        <v>5000</v>
      </c>
      <c r="X59" s="68" t="s">
        <v>208</v>
      </c>
      <c r="AB59" s="86"/>
      <c r="AC59" s="86"/>
      <c r="AD59" s="86"/>
      <c r="AE59" s="86"/>
      <c r="AF59" s="86"/>
      <c r="AG59" s="86" t="s">
        <v>117</v>
      </c>
      <c r="AH59" s="90"/>
      <c r="AI59" s="90"/>
      <c r="AJ59" s="90"/>
      <c r="AK59" s="90"/>
      <c r="AL59" s="90">
        <v>130.76</v>
      </c>
      <c r="AM59" s="90">
        <v>249.81</v>
      </c>
      <c r="AN59" s="90">
        <v>267.06</v>
      </c>
      <c r="AO59" s="90">
        <v>427.6</v>
      </c>
      <c r="AP59" s="90">
        <v>208.26</v>
      </c>
      <c r="AQ59" s="90">
        <v>277.83999999999997</v>
      </c>
      <c r="AR59" s="90">
        <v>358.11</v>
      </c>
      <c r="AS59" s="90">
        <v>253.72</v>
      </c>
      <c r="AT59" s="90">
        <v>255.51</v>
      </c>
      <c r="AU59" s="90">
        <v>485.42</v>
      </c>
      <c r="AV59" s="90">
        <v>390.03</v>
      </c>
      <c r="AW59" s="90">
        <v>330.2</v>
      </c>
      <c r="AX59" s="90"/>
      <c r="AY59" s="91">
        <f>ROUND(SUM(AH59:AX59),5)</f>
        <v>3634.32</v>
      </c>
      <c r="AZ59" s="91">
        <v>4000</v>
      </c>
      <c r="BA59" s="91">
        <f>ROUND((BA43+BA45+BA46+BA93)*0.0145,0)</f>
        <v>4390</v>
      </c>
      <c r="BB59" s="92" t="s">
        <v>208</v>
      </c>
    </row>
    <row r="60" spans="1:54" x14ac:dyDescent="0.3">
      <c r="A60" s="50"/>
      <c r="B60" s="50"/>
      <c r="C60" s="50"/>
      <c r="D60" s="50"/>
      <c r="E60" s="50"/>
      <c r="F60" s="50" t="s">
        <v>118</v>
      </c>
      <c r="G60" s="50"/>
      <c r="H60" s="51">
        <f t="shared" ref="H60:P60" si="24">ROUND(SUM(H57:H59),5)</f>
        <v>671.11</v>
      </c>
      <c r="I60" s="51">
        <f t="shared" si="24"/>
        <v>1380.39</v>
      </c>
      <c r="J60" s="51">
        <f t="shared" si="24"/>
        <v>1633.32</v>
      </c>
      <c r="K60" s="51">
        <f t="shared" si="24"/>
        <v>1815.96</v>
      </c>
      <c r="L60" s="51">
        <f t="shared" si="24"/>
        <v>1258.07</v>
      </c>
      <c r="M60" s="51">
        <f t="shared" si="24"/>
        <v>1909.09</v>
      </c>
      <c r="N60" s="51">
        <f t="shared" si="24"/>
        <v>2724.6</v>
      </c>
      <c r="O60" s="51">
        <f t="shared" si="24"/>
        <v>1463.82</v>
      </c>
      <c r="P60" s="51">
        <f t="shared" si="24"/>
        <v>1445.56</v>
      </c>
      <c r="Q60" s="51">
        <f>ROUND(SUM(Q57:Q59),5)</f>
        <v>2167.1</v>
      </c>
      <c r="R60" s="51">
        <f>ROUND(SUM(R57:R59),5)</f>
        <v>1471.42</v>
      </c>
      <c r="S60" s="51">
        <f>ROUND(SUM(S57:S59),5)</f>
        <v>2380.89</v>
      </c>
      <c r="T60" s="51"/>
      <c r="U60" s="51">
        <f>ROUND(SUM(H60:T60),5)</f>
        <v>20321.330000000002</v>
      </c>
      <c r="V60" s="51">
        <f>ROUND(SUM(V57:V59),5)</f>
        <v>23161</v>
      </c>
      <c r="W60" s="51">
        <f>ROUND(SUM(W57:W59),5)</f>
        <v>26500</v>
      </c>
      <c r="AB60" s="86"/>
      <c r="AC60" s="86"/>
      <c r="AD60" s="86"/>
      <c r="AE60" s="86"/>
      <c r="AF60" s="86" t="s">
        <v>118</v>
      </c>
      <c r="AG60" s="86"/>
      <c r="AH60" s="87"/>
      <c r="AI60" s="87"/>
      <c r="AJ60" s="87"/>
      <c r="AK60" s="87"/>
      <c r="AL60" s="87">
        <f t="shared" ref="AL60:AW60" si="25">ROUND(SUM(AL57:AL59),5)</f>
        <v>689.84</v>
      </c>
      <c r="AM60" s="87">
        <f t="shared" si="25"/>
        <v>1317.87</v>
      </c>
      <c r="AN60" s="87">
        <f t="shared" si="25"/>
        <v>1408.84</v>
      </c>
      <c r="AO60" s="87">
        <f t="shared" si="25"/>
        <v>2255.7399999999998</v>
      </c>
      <c r="AP60" s="87">
        <f t="shared" si="25"/>
        <v>1098.73</v>
      </c>
      <c r="AQ60" s="87">
        <f t="shared" si="25"/>
        <v>1465.77</v>
      </c>
      <c r="AR60" s="87">
        <f t="shared" si="25"/>
        <v>1889.43</v>
      </c>
      <c r="AS60" s="87">
        <f t="shared" si="25"/>
        <v>1338.52</v>
      </c>
      <c r="AT60" s="87">
        <f t="shared" si="25"/>
        <v>1347.87</v>
      </c>
      <c r="AU60" s="87">
        <f t="shared" si="25"/>
        <v>2560.79</v>
      </c>
      <c r="AV60" s="87">
        <f t="shared" si="25"/>
        <v>2057.73</v>
      </c>
      <c r="AW60" s="87">
        <f t="shared" si="25"/>
        <v>1741.85</v>
      </c>
      <c r="AX60" s="87"/>
      <c r="AY60" s="88">
        <f>ROUND(SUM(AH60:AX60),5)</f>
        <v>19172.98</v>
      </c>
      <c r="AZ60" s="88">
        <f>ROUND(SUM(AZ57:AZ59),5)</f>
        <v>23000</v>
      </c>
      <c r="BA60" s="88">
        <f>ROUND(SUM(BA57:BA59),5)</f>
        <v>23161</v>
      </c>
      <c r="BB60" s="89"/>
    </row>
    <row r="61" spans="1:54" x14ac:dyDescent="0.3">
      <c r="A61" s="50"/>
      <c r="B61" s="50"/>
      <c r="C61" s="50"/>
      <c r="D61" s="50"/>
      <c r="E61" s="50"/>
      <c r="F61" s="50" t="s">
        <v>119</v>
      </c>
      <c r="G61" s="50"/>
      <c r="H61" s="51"/>
      <c r="I61" s="51"/>
      <c r="J61" s="51"/>
      <c r="K61" s="51"/>
      <c r="L61" s="51"/>
      <c r="M61" s="51"/>
      <c r="N61" s="51"/>
      <c r="O61" s="51"/>
      <c r="P61" s="51"/>
      <c r="Q61" s="51"/>
      <c r="R61" s="51"/>
      <c r="S61" s="51"/>
      <c r="T61" s="51"/>
      <c r="U61" s="51"/>
      <c r="V61" s="51"/>
      <c r="W61" s="51"/>
      <c r="AB61" s="86"/>
      <c r="AC61" s="86"/>
      <c r="AD61" s="86"/>
      <c r="AE61" s="86"/>
      <c r="AF61" s="86" t="s">
        <v>119</v>
      </c>
      <c r="AG61" s="86"/>
      <c r="AH61" s="87"/>
      <c r="AI61" s="87"/>
      <c r="AJ61" s="87"/>
      <c r="AK61" s="87"/>
      <c r="AL61" s="87"/>
      <c r="AM61" s="87"/>
      <c r="AN61" s="87"/>
      <c r="AO61" s="87"/>
      <c r="AP61" s="87"/>
      <c r="AQ61" s="87"/>
      <c r="AR61" s="87"/>
      <c r="AS61" s="87"/>
      <c r="AT61" s="87"/>
      <c r="AU61" s="87"/>
      <c r="AV61" s="87"/>
      <c r="AW61" s="87"/>
      <c r="AX61" s="87"/>
      <c r="AY61" s="88"/>
      <c r="AZ61" s="88"/>
      <c r="BA61" s="88"/>
      <c r="BB61" s="89"/>
    </row>
    <row r="62" spans="1:54" x14ac:dyDescent="0.3">
      <c r="A62" s="50"/>
      <c r="B62" s="50"/>
      <c r="C62" s="50"/>
      <c r="D62" s="50"/>
      <c r="E62" s="50"/>
      <c r="F62" s="50"/>
      <c r="G62" s="50" t="s">
        <v>120</v>
      </c>
      <c r="H62" s="51">
        <v>7851.47</v>
      </c>
      <c r="I62" s="51">
        <v>3925.93</v>
      </c>
      <c r="J62" s="51">
        <v>0</v>
      </c>
      <c r="K62" s="51">
        <v>3925.93</v>
      </c>
      <c r="L62" s="51">
        <v>3254.42</v>
      </c>
      <c r="M62" s="51">
        <v>3254.42</v>
      </c>
      <c r="N62" s="51">
        <v>3379.51</v>
      </c>
      <c r="O62" s="51">
        <v>3379.51</v>
      </c>
      <c r="P62" s="51">
        <v>3379.51</v>
      </c>
      <c r="Q62" s="51">
        <v>3379.51</v>
      </c>
      <c r="R62" s="51">
        <v>3379.51</v>
      </c>
      <c r="S62" s="51">
        <v>3379.51</v>
      </c>
      <c r="T62" s="51"/>
      <c r="U62" s="51">
        <f>ROUND(SUM(H62:T62),5)</f>
        <v>42489.23</v>
      </c>
      <c r="V62" s="67">
        <v>60000</v>
      </c>
      <c r="W62" s="67">
        <v>52000</v>
      </c>
      <c r="X62" s="68" t="s">
        <v>310</v>
      </c>
      <c r="AB62" s="86"/>
      <c r="AC62" s="86"/>
      <c r="AD62" s="86"/>
      <c r="AE62" s="86"/>
      <c r="AF62" s="86"/>
      <c r="AG62" s="86" t="s">
        <v>120</v>
      </c>
      <c r="AH62" s="87"/>
      <c r="AI62" s="87"/>
      <c r="AJ62" s="87"/>
      <c r="AK62" s="87"/>
      <c r="AL62" s="87">
        <v>3878.65</v>
      </c>
      <c r="AM62" s="87">
        <v>3212.66</v>
      </c>
      <c r="AN62" s="87">
        <v>0</v>
      </c>
      <c r="AO62" s="87">
        <v>3212.66</v>
      </c>
      <c r="AP62" s="87">
        <v>3212.66</v>
      </c>
      <c r="AQ62" s="87">
        <v>3212.66</v>
      </c>
      <c r="AR62" s="87">
        <v>3254.09</v>
      </c>
      <c r="AS62" s="87">
        <v>3254.09</v>
      </c>
      <c r="AT62" s="87">
        <v>4596.99</v>
      </c>
      <c r="AU62" s="87">
        <v>3925.54</v>
      </c>
      <c r="AV62" s="87">
        <v>5212.17</v>
      </c>
      <c r="AW62" s="87">
        <v>8800.1</v>
      </c>
      <c r="AX62" s="87"/>
      <c r="AY62" s="88">
        <f>ROUND(SUM(AH62:AX62),5)</f>
        <v>45772.27</v>
      </c>
      <c r="AZ62" s="88">
        <v>60000</v>
      </c>
      <c r="BA62" s="88">
        <v>60000</v>
      </c>
      <c r="BB62" s="89" t="s">
        <v>207</v>
      </c>
    </row>
    <row r="63" spans="1:54" x14ac:dyDescent="0.3">
      <c r="A63" s="50"/>
      <c r="B63" s="50"/>
      <c r="C63" s="50"/>
      <c r="D63" s="50"/>
      <c r="E63" s="50"/>
      <c r="F63" s="50"/>
      <c r="G63" s="50" t="s">
        <v>121</v>
      </c>
      <c r="H63" s="51">
        <v>147.69</v>
      </c>
      <c r="I63" s="51">
        <v>0</v>
      </c>
      <c r="J63" s="51">
        <v>0</v>
      </c>
      <c r="K63" s="51">
        <v>49.23</v>
      </c>
      <c r="L63" s="51">
        <v>71.760000000000005</v>
      </c>
      <c r="M63" s="51">
        <v>80.66</v>
      </c>
      <c r="N63" s="51">
        <v>40.33</v>
      </c>
      <c r="O63" s="51">
        <v>0</v>
      </c>
      <c r="P63" s="51">
        <v>80.66</v>
      </c>
      <c r="Q63" s="51">
        <v>0</v>
      </c>
      <c r="R63" s="51">
        <v>49.23</v>
      </c>
      <c r="S63" s="51">
        <v>65.28</v>
      </c>
      <c r="T63" s="51"/>
      <c r="U63" s="51">
        <f>ROUND(SUM(H63:T63),5)</f>
        <v>584.84</v>
      </c>
      <c r="V63" s="67">
        <v>1000</v>
      </c>
      <c r="W63" s="67">
        <v>800</v>
      </c>
      <c r="X63" s="68" t="s">
        <v>207</v>
      </c>
      <c r="AB63" s="86"/>
      <c r="AC63" s="86"/>
      <c r="AD63" s="86"/>
      <c r="AE63" s="86"/>
      <c r="AF63" s="86"/>
      <c r="AG63" s="86" t="s">
        <v>121</v>
      </c>
      <c r="AH63" s="87"/>
      <c r="AI63" s="87"/>
      <c r="AJ63" s="87"/>
      <c r="AK63" s="87"/>
      <c r="AL63" s="87">
        <v>46.72</v>
      </c>
      <c r="AM63" s="87">
        <v>40.33</v>
      </c>
      <c r="AN63" s="87">
        <v>40.33</v>
      </c>
      <c r="AO63" s="87">
        <v>40.33</v>
      </c>
      <c r="AP63" s="87">
        <v>40.33</v>
      </c>
      <c r="AQ63" s="87">
        <v>40.33</v>
      </c>
      <c r="AR63" s="87">
        <v>49.23</v>
      </c>
      <c r="AS63" s="87">
        <v>0</v>
      </c>
      <c r="AT63" s="87">
        <v>98.46</v>
      </c>
      <c r="AU63" s="87">
        <v>49.23</v>
      </c>
      <c r="AV63" s="87">
        <v>65.28</v>
      </c>
      <c r="AW63" s="87">
        <v>112</v>
      </c>
      <c r="AX63" s="87"/>
      <c r="AY63" s="88">
        <f>ROUND(SUM(AH63:AX63),5)</f>
        <v>622.57000000000005</v>
      </c>
      <c r="AZ63" s="88">
        <v>850</v>
      </c>
      <c r="BA63" s="88">
        <v>1000</v>
      </c>
      <c r="BB63" s="89" t="s">
        <v>207</v>
      </c>
    </row>
    <row r="64" spans="1:54" ht="15" thickBot="1" x14ac:dyDescent="0.35">
      <c r="A64" s="50"/>
      <c r="B64" s="50"/>
      <c r="C64" s="50"/>
      <c r="D64" s="50"/>
      <c r="E64" s="50"/>
      <c r="F64" s="50"/>
      <c r="G64" s="50" t="s">
        <v>122</v>
      </c>
      <c r="H64" s="52">
        <v>664.72</v>
      </c>
      <c r="I64" s="52">
        <v>332.36</v>
      </c>
      <c r="J64" s="52">
        <v>272.48</v>
      </c>
      <c r="K64" s="52">
        <v>272.48</v>
      </c>
      <c r="L64" s="52">
        <v>272.48</v>
      </c>
      <c r="M64" s="52">
        <v>0</v>
      </c>
      <c r="N64" s="52">
        <v>544.96</v>
      </c>
      <c r="O64" s="52">
        <v>0</v>
      </c>
      <c r="P64" s="52">
        <v>558.6</v>
      </c>
      <c r="Q64" s="52">
        <v>286.12</v>
      </c>
      <c r="R64" s="52">
        <v>286.12</v>
      </c>
      <c r="S64" s="52">
        <v>286.12</v>
      </c>
      <c r="T64" s="52"/>
      <c r="U64" s="52">
        <f>ROUND(SUM(H64:T64),5)</f>
        <v>3776.44</v>
      </c>
      <c r="V64" s="69">
        <v>3800</v>
      </c>
      <c r="W64" s="69">
        <v>3200</v>
      </c>
      <c r="X64" s="68" t="s">
        <v>207</v>
      </c>
      <c r="AB64" s="86"/>
      <c r="AC64" s="86"/>
      <c r="AD64" s="86"/>
      <c r="AE64" s="86"/>
      <c r="AF64" s="86"/>
      <c r="AG64" s="86" t="s">
        <v>122</v>
      </c>
      <c r="AH64" s="90"/>
      <c r="AI64" s="90"/>
      <c r="AJ64" s="90"/>
      <c r="AK64" s="90"/>
      <c r="AL64" s="90">
        <v>332.36</v>
      </c>
      <c r="AM64" s="90">
        <v>272.48</v>
      </c>
      <c r="AN64" s="90">
        <v>272.48</v>
      </c>
      <c r="AO64" s="90">
        <v>272.48</v>
      </c>
      <c r="AP64" s="90">
        <v>272.48</v>
      </c>
      <c r="AQ64" s="90">
        <v>272.48</v>
      </c>
      <c r="AR64" s="90">
        <v>332.36</v>
      </c>
      <c r="AS64" s="90">
        <v>0</v>
      </c>
      <c r="AT64" s="90">
        <v>664.72</v>
      </c>
      <c r="AU64" s="90">
        <v>332.36</v>
      </c>
      <c r="AV64" s="90">
        <v>447.04</v>
      </c>
      <c r="AW64" s="90">
        <v>429.76</v>
      </c>
      <c r="AX64" s="90"/>
      <c r="AY64" s="91">
        <f>ROUND(SUM(AH64:AX64),5)</f>
        <v>3901</v>
      </c>
      <c r="AZ64" s="91">
        <v>4100</v>
      </c>
      <c r="BA64" s="91">
        <v>3800</v>
      </c>
      <c r="BB64" s="92" t="s">
        <v>207</v>
      </c>
    </row>
    <row r="65" spans="1:54" x14ac:dyDescent="0.3">
      <c r="A65" s="50"/>
      <c r="B65" s="50"/>
      <c r="C65" s="50"/>
      <c r="D65" s="50"/>
      <c r="E65" s="50"/>
      <c r="F65" s="50" t="s">
        <v>123</v>
      </c>
      <c r="G65" s="50"/>
      <c r="H65" s="51">
        <f t="shared" ref="H65:P65" si="26">ROUND(SUM(H61:H64),5)</f>
        <v>8663.8799999999992</v>
      </c>
      <c r="I65" s="51">
        <f t="shared" si="26"/>
        <v>4258.29</v>
      </c>
      <c r="J65" s="51">
        <f t="shared" si="26"/>
        <v>272.48</v>
      </c>
      <c r="K65" s="51">
        <f t="shared" si="26"/>
        <v>4247.6400000000003</v>
      </c>
      <c r="L65" s="51">
        <f t="shared" si="26"/>
        <v>3598.66</v>
      </c>
      <c r="M65" s="51">
        <f t="shared" si="26"/>
        <v>3335.08</v>
      </c>
      <c r="N65" s="51">
        <f t="shared" si="26"/>
        <v>3964.8</v>
      </c>
      <c r="O65" s="51">
        <f t="shared" si="26"/>
        <v>3379.51</v>
      </c>
      <c r="P65" s="51">
        <f t="shared" si="26"/>
        <v>4018.77</v>
      </c>
      <c r="Q65" s="51">
        <f>ROUND(SUM(Q61:Q64),5)</f>
        <v>3665.63</v>
      </c>
      <c r="R65" s="51">
        <f>ROUND(SUM(R61:R64),5)</f>
        <v>3714.86</v>
      </c>
      <c r="S65" s="51">
        <f>ROUND(SUM(S61:S64),5)</f>
        <v>3730.91</v>
      </c>
      <c r="T65" s="51"/>
      <c r="U65" s="51">
        <f>ROUND(SUM(H65:T65),5)</f>
        <v>46850.51</v>
      </c>
      <c r="V65" s="51">
        <f>ROUND(SUM(V61:V64),5)</f>
        <v>64800</v>
      </c>
      <c r="W65" s="51">
        <f>ROUND(SUM(W61:W64),5)</f>
        <v>56000</v>
      </c>
      <c r="AB65" s="86"/>
      <c r="AC65" s="86"/>
      <c r="AD65" s="86"/>
      <c r="AE65" s="86"/>
      <c r="AF65" s="86" t="s">
        <v>123</v>
      </c>
      <c r="AG65" s="86"/>
      <c r="AH65" s="87"/>
      <c r="AI65" s="87"/>
      <c r="AJ65" s="87"/>
      <c r="AK65" s="87"/>
      <c r="AL65" s="87">
        <f t="shared" ref="AL65:AW65" si="27">ROUND(SUM(AL61:AL64),5)</f>
        <v>4257.7299999999996</v>
      </c>
      <c r="AM65" s="87">
        <f t="shared" si="27"/>
        <v>3525.47</v>
      </c>
      <c r="AN65" s="87">
        <f t="shared" si="27"/>
        <v>312.81</v>
      </c>
      <c r="AO65" s="87">
        <f t="shared" si="27"/>
        <v>3525.47</v>
      </c>
      <c r="AP65" s="87">
        <f t="shared" si="27"/>
        <v>3525.47</v>
      </c>
      <c r="AQ65" s="87">
        <f t="shared" si="27"/>
        <v>3525.47</v>
      </c>
      <c r="AR65" s="87">
        <f t="shared" si="27"/>
        <v>3635.68</v>
      </c>
      <c r="AS65" s="87">
        <f t="shared" si="27"/>
        <v>3254.09</v>
      </c>
      <c r="AT65" s="87">
        <f t="shared" si="27"/>
        <v>5360.17</v>
      </c>
      <c r="AU65" s="87">
        <f t="shared" si="27"/>
        <v>4307.13</v>
      </c>
      <c r="AV65" s="87">
        <f t="shared" si="27"/>
        <v>5724.49</v>
      </c>
      <c r="AW65" s="87">
        <f t="shared" si="27"/>
        <v>9341.86</v>
      </c>
      <c r="AX65" s="87"/>
      <c r="AY65" s="88">
        <f>ROUND(SUM(AH65:AX65),5)</f>
        <v>50295.839999999997</v>
      </c>
      <c r="AZ65" s="88">
        <f>ROUND(SUM(AZ61:AZ64),5)</f>
        <v>64950</v>
      </c>
      <c r="BA65" s="88">
        <f>ROUND(SUM(BA61:BA64),5)</f>
        <v>64800</v>
      </c>
      <c r="BB65" s="89"/>
    </row>
    <row r="66" spans="1:54" x14ac:dyDescent="0.3">
      <c r="A66" s="50"/>
      <c r="B66" s="50"/>
      <c r="C66" s="50"/>
      <c r="D66" s="50"/>
      <c r="E66" s="50"/>
      <c r="F66" s="50" t="s">
        <v>124</v>
      </c>
      <c r="G66" s="50"/>
      <c r="H66" s="51"/>
      <c r="I66" s="51"/>
      <c r="J66" s="51"/>
      <c r="K66" s="51"/>
      <c r="L66" s="51"/>
      <c r="M66" s="51"/>
      <c r="N66" s="51"/>
      <c r="O66" s="51"/>
      <c r="P66" s="51"/>
      <c r="Q66" s="51"/>
      <c r="R66" s="51"/>
      <c r="S66" s="51"/>
      <c r="T66" s="51"/>
      <c r="U66" s="51"/>
      <c r="V66" s="51"/>
      <c r="W66" s="51"/>
      <c r="AB66" s="86"/>
      <c r="AC66" s="86"/>
      <c r="AD66" s="86"/>
      <c r="AE66" s="86"/>
      <c r="AF66" s="86" t="s">
        <v>124</v>
      </c>
      <c r="AG66" s="86"/>
      <c r="AH66" s="87"/>
      <c r="AI66" s="87"/>
      <c r="AJ66" s="87"/>
      <c r="AK66" s="87"/>
      <c r="AL66" s="87"/>
      <c r="AM66" s="87"/>
      <c r="AN66" s="87"/>
      <c r="AO66" s="87"/>
      <c r="AP66" s="87"/>
      <c r="AQ66" s="87"/>
      <c r="AR66" s="87"/>
      <c r="AS66" s="87"/>
      <c r="AT66" s="87"/>
      <c r="AU66" s="87"/>
      <c r="AV66" s="87"/>
      <c r="AW66" s="87"/>
      <c r="AX66" s="87"/>
      <c r="AY66" s="88"/>
      <c r="AZ66" s="88"/>
      <c r="BA66" s="88"/>
      <c r="BB66" s="89"/>
    </row>
    <row r="67" spans="1:54" ht="31.8" x14ac:dyDescent="0.3">
      <c r="A67" s="50"/>
      <c r="B67" s="50"/>
      <c r="C67" s="50"/>
      <c r="D67" s="50"/>
      <c r="E67" s="50"/>
      <c r="F67" s="50"/>
      <c r="G67" s="50" t="s">
        <v>125</v>
      </c>
      <c r="H67" s="51">
        <v>920.16</v>
      </c>
      <c r="I67" s="51">
        <v>2249.3000000000002</v>
      </c>
      <c r="J67" s="51">
        <v>920.16</v>
      </c>
      <c r="K67" s="51">
        <v>920.16</v>
      </c>
      <c r="L67" s="51">
        <v>920.16</v>
      </c>
      <c r="M67" s="51">
        <v>920.16</v>
      </c>
      <c r="N67" s="51">
        <v>920.16</v>
      </c>
      <c r="O67" s="51">
        <v>920.16</v>
      </c>
      <c r="P67" s="51">
        <v>920.16</v>
      </c>
      <c r="Q67" s="51">
        <v>920.16</v>
      </c>
      <c r="R67" s="51">
        <v>920.16</v>
      </c>
      <c r="S67" s="51">
        <v>1042.3499999999999</v>
      </c>
      <c r="T67" s="51"/>
      <c r="U67" s="51">
        <f>ROUND(SUM(H67:T67),5)</f>
        <v>12493.25</v>
      </c>
      <c r="V67" s="67">
        <v>22000</v>
      </c>
      <c r="W67" s="67">
        <v>22000</v>
      </c>
      <c r="X67" s="68" t="s">
        <v>256</v>
      </c>
      <c r="AB67" s="86"/>
      <c r="AC67" s="86"/>
      <c r="AD67" s="86"/>
      <c r="AE67" s="86"/>
      <c r="AF67" s="86"/>
      <c r="AG67" s="86" t="s">
        <v>125</v>
      </c>
      <c r="AH67" s="87"/>
      <c r="AI67" s="87"/>
      <c r="AJ67" s="87"/>
      <c r="AK67" s="87"/>
      <c r="AL67" s="87">
        <v>1042.3699999999999</v>
      </c>
      <c r="AM67" s="87">
        <v>1042.3699999999999</v>
      </c>
      <c r="AN67" s="87">
        <v>3266.71</v>
      </c>
      <c r="AO67" s="87">
        <v>1042.3699999999999</v>
      </c>
      <c r="AP67" s="87">
        <v>1042.3699999999999</v>
      </c>
      <c r="AQ67" s="87">
        <v>1042.3699999999999</v>
      </c>
      <c r="AR67" s="87">
        <v>1042.3699999999999</v>
      </c>
      <c r="AS67" s="87">
        <v>1042.3699999999999</v>
      </c>
      <c r="AT67" s="87">
        <v>1042.3699999999999</v>
      </c>
      <c r="AU67" s="87">
        <v>1042.3699999999999</v>
      </c>
      <c r="AV67" s="87">
        <v>1590.57</v>
      </c>
      <c r="AW67" s="87">
        <v>1590.51</v>
      </c>
      <c r="AX67" s="87"/>
      <c r="AY67" s="88">
        <f>ROUND(SUM(AH67:AX67),5)</f>
        <v>15829.12</v>
      </c>
      <c r="AZ67" s="88">
        <v>17000</v>
      </c>
      <c r="BA67" s="88">
        <v>22000</v>
      </c>
      <c r="BB67" s="89" t="s">
        <v>256</v>
      </c>
    </row>
    <row r="68" spans="1:54" x14ac:dyDescent="0.3">
      <c r="A68" s="50"/>
      <c r="B68" s="50"/>
      <c r="C68" s="50"/>
      <c r="D68" s="50"/>
      <c r="E68" s="50"/>
      <c r="F68" s="50"/>
      <c r="G68" s="50" t="s">
        <v>199</v>
      </c>
      <c r="H68" s="51">
        <v>0</v>
      </c>
      <c r="I68" s="51">
        <v>0</v>
      </c>
      <c r="J68" s="51">
        <v>0</v>
      </c>
      <c r="K68" s="51">
        <v>0</v>
      </c>
      <c r="L68" s="51">
        <v>0</v>
      </c>
      <c r="M68" s="51">
        <v>0</v>
      </c>
      <c r="N68" s="51">
        <v>0</v>
      </c>
      <c r="O68" s="51">
        <v>0</v>
      </c>
      <c r="P68" s="51">
        <v>0</v>
      </c>
      <c r="Q68" s="51">
        <v>0</v>
      </c>
      <c r="R68" s="51">
        <v>0</v>
      </c>
      <c r="S68" s="51">
        <v>0</v>
      </c>
      <c r="T68" s="51">
        <v>0</v>
      </c>
      <c r="U68" s="51">
        <v>0</v>
      </c>
      <c r="V68" s="67">
        <v>1600</v>
      </c>
      <c r="W68" s="67">
        <v>1500</v>
      </c>
      <c r="AB68" s="86"/>
      <c r="AC68" s="86"/>
      <c r="AD68" s="86"/>
      <c r="AE68" s="86"/>
      <c r="AF68" s="86"/>
      <c r="AG68" s="86" t="s">
        <v>199</v>
      </c>
      <c r="AH68" s="87"/>
      <c r="AI68" s="87"/>
      <c r="AJ68" s="87"/>
      <c r="AK68" s="87"/>
      <c r="AL68" s="87">
        <v>0</v>
      </c>
      <c r="AM68" s="87">
        <v>0</v>
      </c>
      <c r="AN68" s="87">
        <v>0</v>
      </c>
      <c r="AO68" s="87">
        <v>0</v>
      </c>
      <c r="AP68" s="87">
        <v>0</v>
      </c>
      <c r="AQ68" s="87">
        <v>0</v>
      </c>
      <c r="AR68" s="87">
        <v>0</v>
      </c>
      <c r="AS68" s="87">
        <v>0</v>
      </c>
      <c r="AT68" s="87">
        <v>0</v>
      </c>
      <c r="AU68" s="87">
        <v>0</v>
      </c>
      <c r="AV68" s="87">
        <v>0</v>
      </c>
      <c r="AW68" s="87">
        <v>0</v>
      </c>
      <c r="AX68" s="87"/>
      <c r="AY68" s="88">
        <f>ROUND(SUM(AH68:AX68),5)</f>
        <v>0</v>
      </c>
      <c r="AZ68" s="88">
        <v>1600</v>
      </c>
      <c r="BA68" s="88">
        <v>1600</v>
      </c>
      <c r="BB68" s="89"/>
    </row>
    <row r="69" spans="1:54" ht="15" thickBot="1" x14ac:dyDescent="0.35">
      <c r="A69" s="50"/>
      <c r="B69" s="50"/>
      <c r="C69" s="50"/>
      <c r="D69" s="50"/>
      <c r="E69" s="50"/>
      <c r="F69" s="50"/>
      <c r="G69" s="50" t="s">
        <v>126</v>
      </c>
      <c r="H69" s="51">
        <v>0.75</v>
      </c>
      <c r="I69" s="51">
        <v>22.5</v>
      </c>
      <c r="J69" s="51">
        <v>22.5</v>
      </c>
      <c r="K69" s="51">
        <v>22.5</v>
      </c>
      <c r="L69" s="51">
        <v>25.85</v>
      </c>
      <c r="M69" s="51">
        <v>94.84</v>
      </c>
      <c r="N69" s="51">
        <v>477</v>
      </c>
      <c r="O69" s="51">
        <v>266.7</v>
      </c>
      <c r="P69" s="51">
        <v>140.5</v>
      </c>
      <c r="Q69" s="51">
        <v>23.32</v>
      </c>
      <c r="R69" s="51">
        <v>22.5</v>
      </c>
      <c r="S69" s="51">
        <v>44.25</v>
      </c>
      <c r="T69" s="51"/>
      <c r="U69" s="51">
        <f>ROUND(SUM(H69:T69),5)</f>
        <v>1163.21</v>
      </c>
      <c r="V69" s="67">
        <v>2000</v>
      </c>
      <c r="W69" s="67">
        <v>2000</v>
      </c>
      <c r="AB69" s="86"/>
      <c r="AC69" s="86"/>
      <c r="AD69" s="86"/>
      <c r="AE69" s="86"/>
      <c r="AF69" s="86"/>
      <c r="AG69" s="86" t="s">
        <v>126</v>
      </c>
      <c r="AH69" s="87"/>
      <c r="AI69" s="87"/>
      <c r="AJ69" s="87"/>
      <c r="AK69" s="87"/>
      <c r="AL69" s="87">
        <v>3.07</v>
      </c>
      <c r="AM69" s="87">
        <v>24</v>
      </c>
      <c r="AN69" s="87">
        <v>24</v>
      </c>
      <c r="AO69" s="87">
        <v>48</v>
      </c>
      <c r="AP69" s="87">
        <v>0</v>
      </c>
      <c r="AQ69" s="87">
        <v>24</v>
      </c>
      <c r="AR69" s="87">
        <v>426.54</v>
      </c>
      <c r="AS69" s="87">
        <v>254.93</v>
      </c>
      <c r="AT69" s="87">
        <v>153.99</v>
      </c>
      <c r="AU69" s="87">
        <v>94.54</v>
      </c>
      <c r="AV69" s="87">
        <v>0</v>
      </c>
      <c r="AW69" s="87">
        <v>44.93</v>
      </c>
      <c r="AX69" s="87"/>
      <c r="AY69" s="88">
        <f>ROUND(SUM(AH69:AX69),5)</f>
        <v>1098</v>
      </c>
      <c r="AZ69" s="88">
        <v>2000</v>
      </c>
      <c r="BA69" s="88">
        <v>2000</v>
      </c>
      <c r="BB69" s="89"/>
    </row>
    <row r="70" spans="1:54" ht="15" thickBot="1" x14ac:dyDescent="0.35">
      <c r="A70" s="50"/>
      <c r="B70" s="50"/>
      <c r="C70" s="50"/>
      <c r="D70" s="50"/>
      <c r="E70" s="50"/>
      <c r="F70" s="50" t="s">
        <v>127</v>
      </c>
      <c r="G70" s="50"/>
      <c r="H70" s="53">
        <f t="shared" ref="H70:S70" si="28">ROUND(SUM(H66:H69),5)</f>
        <v>920.91</v>
      </c>
      <c r="I70" s="53">
        <f t="shared" si="28"/>
        <v>2271.8000000000002</v>
      </c>
      <c r="J70" s="53">
        <f t="shared" si="28"/>
        <v>942.66</v>
      </c>
      <c r="K70" s="53">
        <f t="shared" si="28"/>
        <v>942.66</v>
      </c>
      <c r="L70" s="53">
        <f t="shared" si="28"/>
        <v>946.01</v>
      </c>
      <c r="M70" s="53">
        <f t="shared" si="28"/>
        <v>1015</v>
      </c>
      <c r="N70" s="53">
        <f t="shared" si="28"/>
        <v>1397.16</v>
      </c>
      <c r="O70" s="53">
        <f t="shared" si="28"/>
        <v>1186.8599999999999</v>
      </c>
      <c r="P70" s="53">
        <f t="shared" si="28"/>
        <v>1060.6600000000001</v>
      </c>
      <c r="Q70" s="53">
        <f t="shared" si="28"/>
        <v>943.48</v>
      </c>
      <c r="R70" s="53">
        <f t="shared" si="28"/>
        <v>942.66</v>
      </c>
      <c r="S70" s="53">
        <f t="shared" si="28"/>
        <v>1086.5999999999999</v>
      </c>
      <c r="T70" s="53"/>
      <c r="U70" s="53">
        <f>ROUND(SUM(H70:T70),5)</f>
        <v>13656.46</v>
      </c>
      <c r="V70" s="53">
        <f>ROUND(SUM(V66:V69),5)</f>
        <v>25600</v>
      </c>
      <c r="W70" s="53">
        <f>ROUND(SUM(W66:W69),5)</f>
        <v>25500</v>
      </c>
      <c r="AB70" s="86"/>
      <c r="AC70" s="86"/>
      <c r="AD70" s="86"/>
      <c r="AE70" s="86" t="s">
        <v>128</v>
      </c>
      <c r="AF70" s="86" t="s">
        <v>127</v>
      </c>
      <c r="AG70" s="86"/>
      <c r="AH70" s="93"/>
      <c r="AI70" s="93"/>
      <c r="AJ70" s="93"/>
      <c r="AK70" s="93"/>
      <c r="AL70" s="93">
        <f t="shared" ref="AL70:AW70" si="29">ROUND(SUM(AL66:AL69),5)</f>
        <v>1045.44</v>
      </c>
      <c r="AM70" s="93">
        <f t="shared" si="29"/>
        <v>1066.3699999999999</v>
      </c>
      <c r="AN70" s="93">
        <f t="shared" si="29"/>
        <v>3290.71</v>
      </c>
      <c r="AO70" s="93">
        <f t="shared" si="29"/>
        <v>1090.3699999999999</v>
      </c>
      <c r="AP70" s="93">
        <f t="shared" si="29"/>
        <v>1042.3699999999999</v>
      </c>
      <c r="AQ70" s="93">
        <f t="shared" si="29"/>
        <v>1066.3699999999999</v>
      </c>
      <c r="AR70" s="93">
        <f t="shared" si="29"/>
        <v>1468.91</v>
      </c>
      <c r="AS70" s="93">
        <f t="shared" si="29"/>
        <v>1297.3</v>
      </c>
      <c r="AT70" s="93">
        <f t="shared" si="29"/>
        <v>1196.3599999999999</v>
      </c>
      <c r="AU70" s="93">
        <f t="shared" si="29"/>
        <v>1136.9100000000001</v>
      </c>
      <c r="AV70" s="93">
        <f t="shared" si="29"/>
        <v>1590.57</v>
      </c>
      <c r="AW70" s="93">
        <f t="shared" si="29"/>
        <v>1635.44</v>
      </c>
      <c r="AX70" s="93"/>
      <c r="AY70" s="94">
        <f>ROUND(SUM(AH70:AX70),5)</f>
        <v>16927.12</v>
      </c>
      <c r="AZ70" s="94">
        <f>ROUND(SUM(AZ66:AZ69),5)</f>
        <v>20600</v>
      </c>
      <c r="BA70" s="94">
        <f>ROUND(SUM(BA66:BA69),5)</f>
        <v>25600</v>
      </c>
      <c r="BB70" s="95"/>
    </row>
    <row r="71" spans="1:54" x14ac:dyDescent="0.3">
      <c r="A71" s="50"/>
      <c r="B71" s="50"/>
      <c r="C71" s="50"/>
      <c r="D71" s="50"/>
      <c r="E71" s="50" t="s">
        <v>128</v>
      </c>
      <c r="F71" s="50"/>
      <c r="G71" s="50"/>
      <c r="H71" s="51">
        <f t="shared" ref="H71:S71" si="30">ROUND(H41+H47+H52+H56+H60+H65+H70,5)</f>
        <v>20427.5</v>
      </c>
      <c r="I71" s="51">
        <f t="shared" si="30"/>
        <v>27733.33</v>
      </c>
      <c r="J71" s="51">
        <f t="shared" si="30"/>
        <v>23514.880000000001</v>
      </c>
      <c r="K71" s="51">
        <f t="shared" si="30"/>
        <v>33234.839999999997</v>
      </c>
      <c r="L71" s="51">
        <f t="shared" si="30"/>
        <v>23848.2</v>
      </c>
      <c r="M71" s="51">
        <f t="shared" si="30"/>
        <v>31970.85</v>
      </c>
      <c r="N71" s="51">
        <f t="shared" si="30"/>
        <v>45059.15</v>
      </c>
      <c r="O71" s="51">
        <f t="shared" si="30"/>
        <v>25780.14</v>
      </c>
      <c r="P71" s="51">
        <f t="shared" si="30"/>
        <v>26176.5</v>
      </c>
      <c r="Q71" s="51">
        <f t="shared" si="30"/>
        <v>36375.4</v>
      </c>
      <c r="R71" s="51">
        <f t="shared" si="30"/>
        <v>25977.439999999999</v>
      </c>
      <c r="S71" s="51">
        <f t="shared" si="30"/>
        <v>30418.91</v>
      </c>
      <c r="T71" s="51"/>
      <c r="U71" s="51">
        <f>ROUND(SUM(H71:T71),5)</f>
        <v>350517.14</v>
      </c>
      <c r="V71" s="51">
        <f>ROUND(V41+V47+V52+V56+V60+V65+V70,5)</f>
        <v>470191</v>
      </c>
      <c r="W71" s="51">
        <f>ROUND(W41+W47+W52+W56+W60+W65+W70,5)</f>
        <v>457450</v>
      </c>
      <c r="AB71" s="86"/>
      <c r="AC71" s="86"/>
      <c r="AD71" s="86"/>
      <c r="AE71" s="86" t="s">
        <v>129</v>
      </c>
      <c r="AF71" s="86"/>
      <c r="AG71" s="86"/>
      <c r="AH71" s="87"/>
      <c r="AI71" s="87"/>
      <c r="AJ71" s="87"/>
      <c r="AK71" s="87"/>
      <c r="AL71" s="87">
        <f t="shared" ref="AL71:AW71" si="31">ROUND(AL41+AL50+AL56+AL60+AL65+AL70,5)</f>
        <v>16390.41</v>
      </c>
      <c r="AM71" s="87">
        <f t="shared" si="31"/>
        <v>24775.15</v>
      </c>
      <c r="AN71" s="87">
        <f t="shared" si="31"/>
        <v>22713.78</v>
      </c>
      <c r="AO71" s="87">
        <f t="shared" si="31"/>
        <v>37089.300000000003</v>
      </c>
      <c r="AP71" s="87">
        <f t="shared" si="31"/>
        <v>21281.85</v>
      </c>
      <c r="AQ71" s="87">
        <f t="shared" si="31"/>
        <v>25723.74</v>
      </c>
      <c r="AR71" s="87">
        <f t="shared" si="31"/>
        <v>32956.370000000003</v>
      </c>
      <c r="AS71" s="87">
        <f t="shared" si="31"/>
        <v>23897.8</v>
      </c>
      <c r="AT71" s="87">
        <f t="shared" si="31"/>
        <v>26043.08</v>
      </c>
      <c r="AU71" s="87">
        <f t="shared" si="31"/>
        <v>41853.379999999997</v>
      </c>
      <c r="AV71" s="87">
        <f t="shared" si="31"/>
        <v>37546.199999999997</v>
      </c>
      <c r="AW71" s="87">
        <f t="shared" si="31"/>
        <v>35336.639999999999</v>
      </c>
      <c r="AX71" s="87"/>
      <c r="AY71" s="88">
        <f>ROUND(SUM(AH71:AX71),5)</f>
        <v>345607.7</v>
      </c>
      <c r="AZ71" s="88">
        <f>ROUND(AZ41+AZ50+AZ56+AZ60+AZ65+AZ70,5)</f>
        <v>413380</v>
      </c>
      <c r="BA71" s="88">
        <f>ROUND(BA41+BA50+BA56+BA60+BA65+BA70,5)</f>
        <v>470191</v>
      </c>
      <c r="BB71" s="89"/>
    </row>
    <row r="72" spans="1:54" x14ac:dyDescent="0.3">
      <c r="A72" s="50"/>
      <c r="B72" s="50"/>
      <c r="C72" s="50"/>
      <c r="D72" s="50"/>
      <c r="E72" s="50" t="s">
        <v>129</v>
      </c>
      <c r="F72" s="50"/>
      <c r="G72" s="50"/>
      <c r="H72" s="51"/>
      <c r="I72" s="51"/>
      <c r="J72" s="51"/>
      <c r="K72" s="51"/>
      <c r="L72" s="51"/>
      <c r="M72" s="51"/>
      <c r="N72" s="51"/>
      <c r="O72" s="51"/>
      <c r="P72" s="51"/>
      <c r="Q72" s="51"/>
      <c r="R72" s="51"/>
      <c r="S72" s="51"/>
      <c r="T72" s="51"/>
      <c r="U72" s="51"/>
      <c r="V72" s="51"/>
      <c r="W72" s="51"/>
      <c r="AB72" s="86"/>
      <c r="AC72" s="86"/>
      <c r="AD72" s="86"/>
      <c r="AE72" s="86"/>
      <c r="AF72" s="86"/>
      <c r="AG72" s="86"/>
      <c r="AH72" s="87"/>
      <c r="AI72" s="87"/>
      <c r="AJ72" s="87"/>
      <c r="AK72" s="87"/>
      <c r="AL72" s="87"/>
      <c r="AM72" s="87"/>
      <c r="AN72" s="87"/>
      <c r="AO72" s="87"/>
      <c r="AP72" s="87"/>
      <c r="AQ72" s="87"/>
      <c r="AR72" s="87"/>
      <c r="AS72" s="87"/>
      <c r="AT72" s="87"/>
      <c r="AU72" s="87"/>
      <c r="AV72" s="87"/>
      <c r="AW72" s="87"/>
      <c r="AX72" s="87"/>
      <c r="AY72" s="88"/>
      <c r="AZ72" s="88"/>
      <c r="BA72" s="88"/>
      <c r="BB72" s="89"/>
    </row>
    <row r="73" spans="1:54" x14ac:dyDescent="0.3">
      <c r="A73" s="50"/>
      <c r="B73" s="50"/>
      <c r="C73" s="50"/>
      <c r="D73" s="50"/>
      <c r="E73" s="50"/>
      <c r="F73" s="50" t="s">
        <v>130</v>
      </c>
      <c r="G73" s="50"/>
      <c r="H73" s="51"/>
      <c r="I73" s="51"/>
      <c r="J73" s="51"/>
      <c r="K73" s="51"/>
      <c r="L73" s="51"/>
      <c r="M73" s="51"/>
      <c r="N73" s="51"/>
      <c r="O73" s="51"/>
      <c r="P73" s="51"/>
      <c r="Q73" s="51"/>
      <c r="R73" s="51"/>
      <c r="S73" s="51"/>
      <c r="T73" s="51"/>
      <c r="U73" s="51"/>
      <c r="V73" s="51"/>
      <c r="W73" s="51"/>
      <c r="AB73" s="86"/>
      <c r="AC73" s="86"/>
      <c r="AD73" s="86"/>
      <c r="AE73" s="86"/>
      <c r="AF73" s="86" t="s">
        <v>130</v>
      </c>
      <c r="AG73" s="86"/>
      <c r="AH73" s="87"/>
      <c r="AI73" s="87"/>
      <c r="AJ73" s="87"/>
      <c r="AK73" s="87"/>
      <c r="AL73" s="87"/>
      <c r="AM73" s="87"/>
      <c r="AN73" s="87"/>
      <c r="AO73" s="87"/>
      <c r="AP73" s="87"/>
      <c r="AQ73" s="87"/>
      <c r="AR73" s="87"/>
      <c r="AS73" s="87"/>
      <c r="AT73" s="87"/>
      <c r="AU73" s="87"/>
      <c r="AV73" s="87"/>
      <c r="AW73" s="87"/>
      <c r="AX73" s="87"/>
      <c r="AY73" s="88"/>
      <c r="AZ73" s="88"/>
      <c r="BA73" s="88"/>
      <c r="BB73" s="89"/>
    </row>
    <row r="74" spans="1:54" x14ac:dyDescent="0.3">
      <c r="A74" s="50"/>
      <c r="B74" s="50"/>
      <c r="C74" s="50"/>
      <c r="D74" s="50"/>
      <c r="E74" s="50"/>
      <c r="F74" s="50"/>
      <c r="G74" s="50" t="s">
        <v>131</v>
      </c>
      <c r="H74" s="51">
        <v>336.79</v>
      </c>
      <c r="I74" s="51">
        <v>343.57</v>
      </c>
      <c r="J74" s="51">
        <v>340.18</v>
      </c>
      <c r="K74" s="51">
        <v>340.18</v>
      </c>
      <c r="L74" s="51">
        <v>471.16</v>
      </c>
      <c r="M74" s="51">
        <v>340.18</v>
      </c>
      <c r="N74" s="51">
        <v>340.18</v>
      </c>
      <c r="O74" s="51">
        <v>340.18</v>
      </c>
      <c r="P74" s="51">
        <v>340.18</v>
      </c>
      <c r="Q74" s="51">
        <v>340.18</v>
      </c>
      <c r="R74" s="51">
        <v>340.18</v>
      </c>
      <c r="S74" s="51">
        <v>336.79</v>
      </c>
      <c r="T74" s="51"/>
      <c r="U74" s="51">
        <f>ROUND(SUM(H74:T74),5)</f>
        <v>4209.75</v>
      </c>
      <c r="V74" s="67">
        <v>4100</v>
      </c>
      <c r="W74" s="67">
        <v>4400</v>
      </c>
      <c r="AB74" s="86"/>
      <c r="AC74" s="86"/>
      <c r="AD74" s="86"/>
      <c r="AE74" s="86"/>
      <c r="AF74" s="86"/>
      <c r="AG74" s="86" t="s">
        <v>131</v>
      </c>
      <c r="AH74" s="87"/>
      <c r="AI74" s="87"/>
      <c r="AJ74" s="87"/>
      <c r="AK74" s="87"/>
      <c r="AL74" s="87">
        <v>265.27999999999997</v>
      </c>
      <c r="AM74" s="87">
        <v>329.08</v>
      </c>
      <c r="AN74" s="87">
        <v>297.18</v>
      </c>
      <c r="AO74" s="87">
        <v>297.18</v>
      </c>
      <c r="AP74" s="87">
        <v>297.18</v>
      </c>
      <c r="AQ74" s="87">
        <v>342.55</v>
      </c>
      <c r="AR74" s="87">
        <v>336.79</v>
      </c>
      <c r="AS74" s="87">
        <v>336.79</v>
      </c>
      <c r="AT74" s="87">
        <v>336.79</v>
      </c>
      <c r="AU74" s="87">
        <v>336.79</v>
      </c>
      <c r="AV74" s="87">
        <v>265.27999999999997</v>
      </c>
      <c r="AW74" s="87">
        <v>265.27999999999997</v>
      </c>
      <c r="AX74" s="87"/>
      <c r="AY74" s="88">
        <f>ROUND(SUM(AH74:AX74),5)</f>
        <v>3706.17</v>
      </c>
      <c r="AZ74" s="88">
        <v>3300</v>
      </c>
      <c r="BA74" s="88">
        <v>4100</v>
      </c>
      <c r="BB74" s="89" t="s">
        <v>250</v>
      </c>
    </row>
    <row r="75" spans="1:54" ht="15" thickBot="1" x14ac:dyDescent="0.35">
      <c r="A75" s="50"/>
      <c r="B75" s="50"/>
      <c r="C75" s="50"/>
      <c r="D75" s="50"/>
      <c r="E75" s="50"/>
      <c r="F75" s="50"/>
      <c r="G75" s="50" t="s">
        <v>132</v>
      </c>
      <c r="H75" s="52">
        <v>0</v>
      </c>
      <c r="I75" s="52">
        <v>613.13</v>
      </c>
      <c r="J75" s="52">
        <v>621.05999999999995</v>
      </c>
      <c r="K75" s="52">
        <v>649.05999999999995</v>
      </c>
      <c r="L75" s="52">
        <v>447.52</v>
      </c>
      <c r="M75" s="52">
        <v>449.1</v>
      </c>
      <c r="N75" s="52">
        <v>352.72</v>
      </c>
      <c r="O75" s="52">
        <v>368.99</v>
      </c>
      <c r="P75" s="52">
        <v>439.86</v>
      </c>
      <c r="Q75" s="52">
        <v>437.05</v>
      </c>
      <c r="R75" s="52">
        <v>528.09</v>
      </c>
      <c r="S75" s="52">
        <v>1125.5899999999999</v>
      </c>
      <c r="T75" s="52"/>
      <c r="U75" s="52">
        <f>ROUND(SUM(H75:T75),5)</f>
        <v>6032.17</v>
      </c>
      <c r="V75" s="69">
        <v>5500</v>
      </c>
      <c r="W75" s="69">
        <v>6000</v>
      </c>
      <c r="AB75" s="86"/>
      <c r="AC75" s="86"/>
      <c r="AD75" s="86"/>
      <c r="AE75" s="86"/>
      <c r="AF75" s="86"/>
      <c r="AG75" s="86" t="s">
        <v>132</v>
      </c>
      <c r="AH75" s="90"/>
      <c r="AI75" s="90"/>
      <c r="AJ75" s="90"/>
      <c r="AK75" s="90"/>
      <c r="AL75" s="90">
        <v>0</v>
      </c>
      <c r="AM75" s="90">
        <v>563.13</v>
      </c>
      <c r="AN75" s="90">
        <v>558</v>
      </c>
      <c r="AO75" s="90">
        <v>564.51</v>
      </c>
      <c r="AP75" s="90">
        <v>381.22</v>
      </c>
      <c r="AQ75" s="90">
        <v>394.29</v>
      </c>
      <c r="AR75" s="90">
        <v>348.74</v>
      </c>
      <c r="AS75" s="90">
        <v>330.04</v>
      </c>
      <c r="AT75" s="90">
        <v>387.21</v>
      </c>
      <c r="AU75" s="90">
        <v>320.44</v>
      </c>
      <c r="AV75" s="90">
        <v>350.52</v>
      </c>
      <c r="AW75" s="90">
        <v>939.43</v>
      </c>
      <c r="AX75" s="90"/>
      <c r="AY75" s="91">
        <f>ROUND(SUM(AH75:AX75),5)</f>
        <v>5137.53</v>
      </c>
      <c r="AZ75" s="91">
        <v>5000</v>
      </c>
      <c r="BA75" s="91">
        <v>5500</v>
      </c>
      <c r="BB75" s="92"/>
    </row>
    <row r="76" spans="1:54" x14ac:dyDescent="0.3">
      <c r="A76" s="50"/>
      <c r="B76" s="50"/>
      <c r="C76" s="50"/>
      <c r="D76" s="50"/>
      <c r="E76" s="50"/>
      <c r="F76" s="50" t="s">
        <v>133</v>
      </c>
      <c r="G76" s="50"/>
      <c r="H76" s="51">
        <f t="shared" ref="H76:P76" si="32">ROUND(SUM(H73:H75),5)</f>
        <v>336.79</v>
      </c>
      <c r="I76" s="51">
        <f t="shared" si="32"/>
        <v>956.7</v>
      </c>
      <c r="J76" s="51">
        <f t="shared" si="32"/>
        <v>961.24</v>
      </c>
      <c r="K76" s="51">
        <f t="shared" si="32"/>
        <v>989.24</v>
      </c>
      <c r="L76" s="51">
        <f t="shared" si="32"/>
        <v>918.68</v>
      </c>
      <c r="M76" s="51">
        <f t="shared" si="32"/>
        <v>789.28</v>
      </c>
      <c r="N76" s="51">
        <f t="shared" si="32"/>
        <v>692.9</v>
      </c>
      <c r="O76" s="51">
        <f t="shared" si="32"/>
        <v>709.17</v>
      </c>
      <c r="P76" s="51">
        <f t="shared" si="32"/>
        <v>780.04</v>
      </c>
      <c r="Q76" s="51">
        <f>ROUND(SUM(Q73:Q75),5)</f>
        <v>777.23</v>
      </c>
      <c r="R76" s="51">
        <f>ROUND(SUM(R73:R75),5)</f>
        <v>868.27</v>
      </c>
      <c r="S76" s="51">
        <f>ROUND(SUM(S73:S75),5)</f>
        <v>1462.38</v>
      </c>
      <c r="T76" s="51"/>
      <c r="U76" s="51">
        <f>ROUND(SUM(H76:T76),5)</f>
        <v>10241.92</v>
      </c>
      <c r="V76" s="51">
        <f>ROUND(SUM(V73:V75),5)</f>
        <v>9600</v>
      </c>
      <c r="W76" s="51">
        <f>ROUND(SUM(W73:W75),5)</f>
        <v>10400</v>
      </c>
      <c r="AB76" s="86"/>
      <c r="AC76" s="86"/>
      <c r="AD76" s="86"/>
      <c r="AE76" s="86"/>
      <c r="AF76" s="86" t="s">
        <v>133</v>
      </c>
      <c r="AG76" s="86"/>
      <c r="AH76" s="87"/>
      <c r="AI76" s="87"/>
      <c r="AJ76" s="87"/>
      <c r="AK76" s="87"/>
      <c r="AL76" s="87">
        <f t="shared" ref="AL76:AW76" si="33">ROUND(SUM(AL73:AL75),5)</f>
        <v>265.27999999999997</v>
      </c>
      <c r="AM76" s="87">
        <f t="shared" si="33"/>
        <v>892.21</v>
      </c>
      <c r="AN76" s="87">
        <f t="shared" si="33"/>
        <v>855.18</v>
      </c>
      <c r="AO76" s="87">
        <f t="shared" si="33"/>
        <v>861.69</v>
      </c>
      <c r="AP76" s="87">
        <f t="shared" si="33"/>
        <v>678.4</v>
      </c>
      <c r="AQ76" s="87">
        <f t="shared" si="33"/>
        <v>736.84</v>
      </c>
      <c r="AR76" s="87">
        <f t="shared" si="33"/>
        <v>685.53</v>
      </c>
      <c r="AS76" s="87">
        <f t="shared" si="33"/>
        <v>666.83</v>
      </c>
      <c r="AT76" s="87">
        <f t="shared" si="33"/>
        <v>724</v>
      </c>
      <c r="AU76" s="87">
        <f t="shared" si="33"/>
        <v>657.23</v>
      </c>
      <c r="AV76" s="87">
        <f t="shared" si="33"/>
        <v>615.79999999999995</v>
      </c>
      <c r="AW76" s="87">
        <f t="shared" si="33"/>
        <v>1204.71</v>
      </c>
      <c r="AX76" s="87"/>
      <c r="AY76" s="88">
        <f>ROUND(SUM(AH76:AX76),5)</f>
        <v>8843.7000000000007</v>
      </c>
      <c r="AZ76" s="88">
        <f>ROUND(SUM(AZ73:AZ75),5)</f>
        <v>8300</v>
      </c>
      <c r="BA76" s="88">
        <f>ROUND(SUM(BA73:BA75),5)</f>
        <v>9600</v>
      </c>
      <c r="BB76" s="89"/>
    </row>
    <row r="77" spans="1:54" x14ac:dyDescent="0.3">
      <c r="A77" s="50"/>
      <c r="B77" s="50"/>
      <c r="C77" s="50"/>
      <c r="D77" s="50"/>
      <c r="E77" s="50"/>
      <c r="F77" s="50"/>
      <c r="G77" s="50"/>
      <c r="H77" s="51"/>
      <c r="I77" s="51"/>
      <c r="J77" s="51"/>
      <c r="K77" s="51"/>
      <c r="L77" s="51"/>
      <c r="M77" s="51"/>
      <c r="N77" s="51"/>
      <c r="O77" s="51"/>
      <c r="P77" s="51"/>
      <c r="Q77" s="51"/>
      <c r="R77" s="51"/>
      <c r="S77" s="51"/>
      <c r="T77" s="51"/>
      <c r="U77" s="51"/>
      <c r="V77" s="51"/>
      <c r="W77" s="51"/>
      <c r="AB77" s="86"/>
      <c r="AC77" s="86"/>
      <c r="AD77" s="86"/>
      <c r="AE77" s="86"/>
      <c r="AF77" s="86"/>
      <c r="AG77" s="86"/>
      <c r="AH77" s="87"/>
      <c r="AI77" s="87"/>
      <c r="AJ77" s="87"/>
      <c r="AK77" s="87"/>
      <c r="AL77" s="87"/>
      <c r="AM77" s="87"/>
      <c r="AN77" s="87"/>
      <c r="AO77" s="87"/>
      <c r="AP77" s="87"/>
      <c r="AQ77" s="87"/>
      <c r="AR77" s="87"/>
      <c r="AS77" s="87"/>
      <c r="AT77" s="87"/>
      <c r="AU77" s="87"/>
      <c r="AV77" s="87"/>
      <c r="AW77" s="87"/>
      <c r="AX77" s="87"/>
      <c r="AY77" s="88"/>
      <c r="AZ77" s="88"/>
      <c r="BA77" s="88"/>
      <c r="BB77" s="89"/>
    </row>
    <row r="78" spans="1:54" x14ac:dyDescent="0.3">
      <c r="A78" s="50"/>
      <c r="B78" s="50"/>
      <c r="C78" s="50"/>
      <c r="D78" s="50"/>
      <c r="E78" s="50"/>
      <c r="F78" s="50"/>
      <c r="G78" s="50"/>
      <c r="H78" s="51"/>
      <c r="I78" s="51"/>
      <c r="J78" s="51"/>
      <c r="K78" s="51"/>
      <c r="L78" s="51"/>
      <c r="M78" s="51"/>
      <c r="N78" s="51"/>
      <c r="O78" s="51"/>
      <c r="P78" s="51"/>
      <c r="Q78" s="51"/>
      <c r="R78" s="51"/>
      <c r="S78" s="51"/>
      <c r="T78" s="51"/>
      <c r="U78" s="51"/>
      <c r="V78" s="51"/>
      <c r="W78" s="51"/>
      <c r="AB78" s="86"/>
      <c r="AC78" s="86"/>
      <c r="AD78" s="86"/>
      <c r="AE78" s="86"/>
      <c r="AF78" s="86"/>
      <c r="AG78" s="86"/>
      <c r="AH78" s="87"/>
      <c r="AI78" s="87"/>
      <c r="AJ78" s="87"/>
      <c r="AK78" s="87"/>
      <c r="AL78" s="87"/>
      <c r="AM78" s="87"/>
      <c r="AN78" s="87"/>
      <c r="AO78" s="87"/>
      <c r="AP78" s="87"/>
      <c r="AQ78" s="87"/>
      <c r="AR78" s="87"/>
      <c r="AS78" s="87"/>
      <c r="AT78" s="87"/>
      <c r="AU78" s="87"/>
      <c r="AV78" s="87"/>
      <c r="AW78" s="87"/>
      <c r="AX78" s="87"/>
      <c r="AY78" s="88"/>
      <c r="AZ78" s="88"/>
      <c r="BA78" s="88"/>
      <c r="BB78" s="89"/>
    </row>
    <row r="79" spans="1:54" x14ac:dyDescent="0.3">
      <c r="A79" s="50"/>
      <c r="B79" s="50"/>
      <c r="C79" s="50"/>
      <c r="D79" s="50"/>
      <c r="E79" s="50"/>
      <c r="F79" s="50"/>
      <c r="G79" s="50"/>
      <c r="H79" s="51"/>
      <c r="I79" s="51"/>
      <c r="J79" s="51"/>
      <c r="K79" s="51"/>
      <c r="L79" s="51"/>
      <c r="M79" s="51"/>
      <c r="N79" s="51"/>
      <c r="O79" s="51"/>
      <c r="P79" s="51"/>
      <c r="Q79" s="51"/>
      <c r="R79" s="51"/>
      <c r="S79" s="51"/>
      <c r="T79" s="51"/>
      <c r="U79" s="51"/>
      <c r="V79" s="51"/>
      <c r="W79" s="51"/>
      <c r="AB79" s="86"/>
      <c r="AC79" s="86"/>
      <c r="AD79" s="86"/>
      <c r="AE79" s="86"/>
      <c r="AF79" s="86"/>
      <c r="AG79" s="86"/>
      <c r="AH79" s="87"/>
      <c r="AI79" s="87"/>
      <c r="AJ79" s="87"/>
      <c r="AK79" s="87"/>
      <c r="AL79" s="87"/>
      <c r="AM79" s="87"/>
      <c r="AN79" s="87"/>
      <c r="AO79" s="87"/>
      <c r="AP79" s="87"/>
      <c r="AQ79" s="87"/>
      <c r="AR79" s="87"/>
      <c r="AS79" s="87"/>
      <c r="AT79" s="87"/>
      <c r="AU79" s="87"/>
      <c r="AV79" s="87"/>
      <c r="AW79" s="87"/>
      <c r="AX79" s="87"/>
      <c r="AY79" s="88"/>
      <c r="AZ79" s="88"/>
      <c r="BA79" s="88"/>
      <c r="BB79" s="89"/>
    </row>
    <row r="80" spans="1:54" x14ac:dyDescent="0.3">
      <c r="A80" s="50"/>
      <c r="B80" s="50"/>
      <c r="C80" s="50"/>
      <c r="D80" s="50"/>
      <c r="E80" s="50"/>
      <c r="F80" s="50"/>
      <c r="G80" s="50"/>
      <c r="H80" s="51"/>
      <c r="I80" s="51"/>
      <c r="J80" s="51"/>
      <c r="K80" s="51"/>
      <c r="L80" s="51"/>
      <c r="M80" s="51"/>
      <c r="N80" s="51"/>
      <c r="O80" s="51"/>
      <c r="P80" s="51"/>
      <c r="Q80" s="51"/>
      <c r="R80" s="51"/>
      <c r="S80" s="51"/>
      <c r="T80" s="51"/>
      <c r="U80" s="51"/>
      <c r="V80" s="51"/>
      <c r="W80" s="51"/>
      <c r="AB80" s="86"/>
      <c r="AC80" s="86"/>
      <c r="AD80" s="86"/>
      <c r="AE80" s="86"/>
      <c r="AF80" s="86"/>
      <c r="AG80" s="86"/>
      <c r="AH80" s="87"/>
      <c r="AI80" s="87"/>
      <c r="AJ80" s="87"/>
      <c r="AK80" s="87"/>
      <c r="AL80" s="87"/>
      <c r="AM80" s="87"/>
      <c r="AN80" s="87"/>
      <c r="AO80" s="87"/>
      <c r="AP80" s="87"/>
      <c r="AQ80" s="87"/>
      <c r="AR80" s="87"/>
      <c r="AS80" s="87"/>
      <c r="AT80" s="87"/>
      <c r="AU80" s="87"/>
      <c r="AV80" s="87"/>
      <c r="AW80" s="87"/>
      <c r="AX80" s="87"/>
      <c r="AY80" s="88"/>
      <c r="AZ80" s="88"/>
      <c r="BA80" s="88"/>
      <c r="BB80" s="89"/>
    </row>
    <row r="81" spans="1:54" x14ac:dyDescent="0.3">
      <c r="A81" s="50"/>
      <c r="B81" s="50"/>
      <c r="C81" s="50"/>
      <c r="D81" s="50"/>
      <c r="E81" s="50"/>
      <c r="F81" s="50"/>
      <c r="G81" s="50"/>
      <c r="H81" s="51"/>
      <c r="I81" s="51"/>
      <c r="J81" s="51"/>
      <c r="K81" s="51"/>
      <c r="L81" s="51"/>
      <c r="M81" s="51"/>
      <c r="N81" s="51"/>
      <c r="O81" s="51"/>
      <c r="P81" s="51"/>
      <c r="Q81" s="51"/>
      <c r="R81" s="51"/>
      <c r="S81" s="51"/>
      <c r="T81" s="51"/>
      <c r="U81" s="51"/>
      <c r="V81" s="51"/>
      <c r="W81" s="51"/>
      <c r="AB81" s="86"/>
      <c r="AC81" s="86"/>
      <c r="AD81" s="86"/>
      <c r="AE81" s="86"/>
      <c r="AF81" s="86"/>
      <c r="AG81" s="86"/>
      <c r="AH81" s="87"/>
      <c r="AI81" s="87"/>
      <c r="AJ81" s="87"/>
      <c r="AK81" s="87"/>
      <c r="AL81" s="87"/>
      <c r="AM81" s="87"/>
      <c r="AN81" s="87"/>
      <c r="AO81" s="87"/>
      <c r="AP81" s="87"/>
      <c r="AQ81" s="87"/>
      <c r="AR81" s="87"/>
      <c r="AS81" s="87"/>
      <c r="AT81" s="87"/>
      <c r="AU81" s="87"/>
      <c r="AV81" s="87"/>
      <c r="AW81" s="87"/>
      <c r="AX81" s="87"/>
      <c r="AY81" s="88"/>
      <c r="AZ81" s="88"/>
      <c r="BA81" s="88"/>
      <c r="BB81" s="89"/>
    </row>
    <row r="82" spans="1:54" x14ac:dyDescent="0.3">
      <c r="A82" s="50"/>
      <c r="B82" s="50"/>
      <c r="C82" s="50"/>
      <c r="D82" s="50"/>
      <c r="E82" s="50"/>
      <c r="F82" s="50"/>
      <c r="G82" s="50"/>
      <c r="H82" s="51"/>
      <c r="I82" s="51"/>
      <c r="J82" s="51"/>
      <c r="K82" s="51"/>
      <c r="L82" s="51"/>
      <c r="M82" s="51"/>
      <c r="N82" s="51"/>
      <c r="O82" s="51"/>
      <c r="P82" s="51"/>
      <c r="Q82" s="51"/>
      <c r="R82" s="51"/>
      <c r="S82" s="51"/>
      <c r="T82" s="51"/>
      <c r="U82" s="51"/>
      <c r="V82" s="51"/>
      <c r="W82" s="51"/>
      <c r="AB82" s="86"/>
      <c r="AC82" s="86"/>
      <c r="AD82" s="86"/>
      <c r="AE82" s="86"/>
      <c r="AF82" s="86"/>
      <c r="AG82" s="86"/>
      <c r="AH82" s="87"/>
      <c r="AI82" s="87"/>
      <c r="AJ82" s="87"/>
      <c r="AK82" s="87"/>
      <c r="AL82" s="87"/>
      <c r="AM82" s="87"/>
      <c r="AN82" s="87"/>
      <c r="AO82" s="87"/>
      <c r="AP82" s="87"/>
      <c r="AQ82" s="87"/>
      <c r="AR82" s="87"/>
      <c r="AS82" s="87"/>
      <c r="AT82" s="87"/>
      <c r="AU82" s="87"/>
      <c r="AV82" s="87"/>
      <c r="AW82" s="87"/>
      <c r="AX82" s="87"/>
      <c r="AY82" s="88"/>
      <c r="AZ82" s="88"/>
      <c r="BA82" s="88"/>
      <c r="BB82" s="89"/>
    </row>
    <row r="83" spans="1:54" x14ac:dyDescent="0.3">
      <c r="A83" s="50"/>
      <c r="B83" s="50"/>
      <c r="C83" s="50"/>
      <c r="D83" s="50"/>
      <c r="E83" s="50"/>
      <c r="F83" s="50"/>
      <c r="G83" s="50"/>
      <c r="H83" s="51"/>
      <c r="I83" s="51"/>
      <c r="J83" s="51"/>
      <c r="K83" s="51"/>
      <c r="L83" s="51"/>
      <c r="M83" s="51"/>
      <c r="N83" s="51"/>
      <c r="O83" s="51"/>
      <c r="P83" s="51"/>
      <c r="Q83" s="51"/>
      <c r="R83" s="51"/>
      <c r="S83" s="51"/>
      <c r="T83" s="51"/>
      <c r="U83" s="51"/>
      <c r="V83" s="51"/>
      <c r="W83" s="51"/>
      <c r="AB83" s="86"/>
      <c r="AC83" s="86"/>
      <c r="AD83" s="86"/>
      <c r="AE83" s="86"/>
      <c r="AF83" s="86"/>
      <c r="AG83" s="86"/>
      <c r="AH83" s="87"/>
      <c r="AI83" s="87"/>
      <c r="AJ83" s="87"/>
      <c r="AK83" s="87"/>
      <c r="AL83" s="87"/>
      <c r="AM83" s="87"/>
      <c r="AN83" s="87"/>
      <c r="AO83" s="87"/>
      <c r="AP83" s="87"/>
      <c r="AQ83" s="87"/>
      <c r="AR83" s="87"/>
      <c r="AS83" s="87"/>
      <c r="AT83" s="87"/>
      <c r="AU83" s="87"/>
      <c r="AV83" s="87"/>
      <c r="AW83" s="87"/>
      <c r="AX83" s="87"/>
      <c r="AY83" s="88"/>
      <c r="AZ83" s="88"/>
      <c r="BA83" s="88"/>
      <c r="BB83" s="89"/>
    </row>
    <row r="84" spans="1:54" x14ac:dyDescent="0.3">
      <c r="A84" s="50"/>
      <c r="B84" s="50"/>
      <c r="C84" s="50"/>
      <c r="D84" s="50"/>
      <c r="E84" s="50"/>
      <c r="F84" s="50"/>
      <c r="G84" s="50"/>
      <c r="H84" s="51"/>
      <c r="I84" s="51"/>
      <c r="J84" s="51"/>
      <c r="K84" s="51"/>
      <c r="L84" s="51"/>
      <c r="M84" s="51"/>
      <c r="N84" s="51"/>
      <c r="O84" s="51"/>
      <c r="P84" s="51"/>
      <c r="Q84" s="51"/>
      <c r="R84" s="51"/>
      <c r="S84" s="51"/>
      <c r="T84" s="51"/>
      <c r="U84" s="51"/>
      <c r="V84" s="51"/>
      <c r="W84" s="51"/>
      <c r="AB84" s="86"/>
      <c r="AC84" s="86"/>
      <c r="AD84" s="86"/>
      <c r="AE84" s="86"/>
      <c r="AF84" s="86"/>
      <c r="AG84" s="86"/>
      <c r="AH84" s="87"/>
      <c r="AI84" s="87"/>
      <c r="AJ84" s="87"/>
      <c r="AK84" s="87"/>
      <c r="AL84" s="87"/>
      <c r="AM84" s="87"/>
      <c r="AN84" s="87"/>
      <c r="AO84" s="87"/>
      <c r="AP84" s="87"/>
      <c r="AQ84" s="87"/>
      <c r="AR84" s="87"/>
      <c r="AS84" s="87"/>
      <c r="AT84" s="87"/>
      <c r="AU84" s="87"/>
      <c r="AV84" s="87"/>
      <c r="AW84" s="87"/>
      <c r="AX84" s="87"/>
      <c r="AY84" s="88"/>
      <c r="AZ84" s="88"/>
      <c r="BA84" s="88"/>
      <c r="BB84" s="89"/>
    </row>
    <row r="85" spans="1:54" x14ac:dyDescent="0.3">
      <c r="A85" s="50"/>
      <c r="B85" s="50"/>
      <c r="C85" s="50"/>
      <c r="D85" s="50"/>
      <c r="E85" s="50"/>
      <c r="F85" s="50"/>
      <c r="G85" s="50"/>
      <c r="H85" s="51"/>
      <c r="I85" s="51"/>
      <c r="J85" s="51"/>
      <c r="K85" s="51"/>
      <c r="L85" s="51"/>
      <c r="M85" s="51"/>
      <c r="N85" s="51"/>
      <c r="O85" s="51"/>
      <c r="P85" s="51"/>
      <c r="Q85" s="51"/>
      <c r="R85" s="51"/>
      <c r="S85" s="51"/>
      <c r="T85" s="51"/>
      <c r="U85" s="51"/>
      <c r="V85" s="51"/>
      <c r="W85" s="51"/>
      <c r="AB85" s="86"/>
      <c r="AC85" s="86"/>
      <c r="AD85" s="86"/>
      <c r="AE85" s="86"/>
      <c r="AF85" s="86"/>
      <c r="AG85" s="86"/>
      <c r="AH85" s="87"/>
      <c r="AI85" s="87"/>
      <c r="AJ85" s="87"/>
      <c r="AK85" s="87"/>
      <c r="AL85" s="87"/>
      <c r="AM85" s="87"/>
      <c r="AN85" s="87"/>
      <c r="AO85" s="87"/>
      <c r="AP85" s="87"/>
      <c r="AQ85" s="87"/>
      <c r="AR85" s="87"/>
      <c r="AS85" s="87"/>
      <c r="AT85" s="87"/>
      <c r="AU85" s="87"/>
      <c r="AV85" s="87"/>
      <c r="AW85" s="87"/>
      <c r="AX85" s="87"/>
      <c r="AY85" s="88"/>
      <c r="AZ85" s="88"/>
      <c r="BA85" s="88"/>
      <c r="BB85" s="89"/>
    </row>
    <row r="86" spans="1:54" x14ac:dyDescent="0.3">
      <c r="A86" s="50"/>
      <c r="B86" s="50"/>
      <c r="C86" s="50"/>
      <c r="D86" s="50"/>
      <c r="E86" s="50"/>
      <c r="F86" s="50"/>
      <c r="G86" s="50"/>
      <c r="H86" s="51"/>
      <c r="I86" s="51"/>
      <c r="J86" s="51"/>
      <c r="K86" s="51"/>
      <c r="L86" s="51"/>
      <c r="M86" s="51"/>
      <c r="N86" s="51"/>
      <c r="O86" s="51"/>
      <c r="P86" s="51"/>
      <c r="Q86" s="51"/>
      <c r="R86" s="51"/>
      <c r="S86" s="51"/>
      <c r="T86" s="51"/>
      <c r="U86" s="51"/>
      <c r="V86" s="51"/>
      <c r="W86" s="51"/>
      <c r="AB86" s="86"/>
      <c r="AC86" s="86"/>
      <c r="AD86" s="86"/>
      <c r="AE86" s="86"/>
      <c r="AF86" s="86"/>
      <c r="AG86" s="86"/>
      <c r="AH86" s="87"/>
      <c r="AI86" s="87"/>
      <c r="AJ86" s="87"/>
      <c r="AK86" s="87"/>
      <c r="AL86" s="87"/>
      <c r="AM86" s="87"/>
      <c r="AN86" s="87"/>
      <c r="AO86" s="87"/>
      <c r="AP86" s="87"/>
      <c r="AQ86" s="87"/>
      <c r="AR86" s="87"/>
      <c r="AS86" s="87"/>
      <c r="AT86" s="87"/>
      <c r="AU86" s="87"/>
      <c r="AV86" s="87"/>
      <c r="AW86" s="87"/>
      <c r="AX86" s="87"/>
      <c r="AY86" s="88"/>
      <c r="AZ86" s="88"/>
      <c r="BA86" s="88"/>
      <c r="BB86" s="89"/>
    </row>
    <row r="87" spans="1:54" x14ac:dyDescent="0.3">
      <c r="A87" s="50"/>
      <c r="B87" s="50"/>
      <c r="C87" s="50"/>
      <c r="D87" s="50"/>
      <c r="E87" s="50"/>
      <c r="F87" s="50"/>
      <c r="G87" s="50"/>
      <c r="H87" s="51"/>
      <c r="I87" s="51"/>
      <c r="J87" s="51"/>
      <c r="K87" s="51"/>
      <c r="L87" s="51"/>
      <c r="M87" s="51"/>
      <c r="N87" s="51"/>
      <c r="O87" s="51"/>
      <c r="P87" s="51"/>
      <c r="Q87" s="51"/>
      <c r="R87" s="51"/>
      <c r="S87" s="51"/>
      <c r="T87" s="51"/>
      <c r="U87" s="51"/>
      <c r="V87" s="51"/>
      <c r="W87" s="51"/>
      <c r="AB87" s="86"/>
      <c r="AC87" s="86"/>
      <c r="AD87" s="86"/>
      <c r="AE87" s="86"/>
      <c r="AF87" s="86"/>
      <c r="AG87" s="86"/>
      <c r="AH87" s="87"/>
      <c r="AI87" s="87"/>
      <c r="AJ87" s="87"/>
      <c r="AK87" s="87"/>
      <c r="AL87" s="87"/>
      <c r="AM87" s="87"/>
      <c r="AN87" s="87"/>
      <c r="AO87" s="87"/>
      <c r="AP87" s="87"/>
      <c r="AQ87" s="87"/>
      <c r="AR87" s="87"/>
      <c r="AS87" s="87"/>
      <c r="AT87" s="87"/>
      <c r="AU87" s="87"/>
      <c r="AV87" s="87"/>
      <c r="AW87" s="87"/>
      <c r="AX87" s="87"/>
      <c r="AY87" s="88"/>
      <c r="AZ87" s="88"/>
      <c r="BA87" s="88"/>
      <c r="BB87" s="89"/>
    </row>
    <row r="88" spans="1:54" x14ac:dyDescent="0.3">
      <c r="A88" s="50"/>
      <c r="B88" s="50"/>
      <c r="C88" s="50"/>
      <c r="D88" s="50"/>
      <c r="E88" s="50"/>
      <c r="F88" s="50"/>
      <c r="G88" s="50"/>
      <c r="H88" s="51"/>
      <c r="I88" s="51"/>
      <c r="J88" s="51"/>
      <c r="K88" s="51"/>
      <c r="L88" s="51"/>
      <c r="M88" s="51"/>
      <c r="N88" s="51"/>
      <c r="O88" s="51"/>
      <c r="P88" s="51"/>
      <c r="Q88" s="51"/>
      <c r="R88" s="51"/>
      <c r="S88" s="51"/>
      <c r="T88" s="51"/>
      <c r="U88" s="51"/>
      <c r="V88" s="51"/>
      <c r="W88" s="51"/>
      <c r="AB88" s="86"/>
      <c r="AC88" s="86"/>
      <c r="AD88" s="86"/>
      <c r="AE88" s="86"/>
      <c r="AF88" s="86"/>
      <c r="AG88" s="86"/>
      <c r="AH88" s="87"/>
      <c r="AI88" s="87"/>
      <c r="AJ88" s="87"/>
      <c r="AK88" s="87"/>
      <c r="AL88" s="87"/>
      <c r="AM88" s="87"/>
      <c r="AN88" s="87"/>
      <c r="AO88" s="87"/>
      <c r="AP88" s="87"/>
      <c r="AQ88" s="87"/>
      <c r="AR88" s="87"/>
      <c r="AS88" s="87"/>
      <c r="AT88" s="87"/>
      <c r="AU88" s="87"/>
      <c r="AV88" s="87"/>
      <c r="AW88" s="87"/>
      <c r="AX88" s="87"/>
      <c r="AY88" s="88"/>
      <c r="AZ88" s="88"/>
      <c r="BA88" s="88"/>
      <c r="BB88" s="89"/>
    </row>
    <row r="89" spans="1:54" x14ac:dyDescent="0.3">
      <c r="A89" s="50"/>
      <c r="B89" s="50"/>
      <c r="C89" s="50"/>
      <c r="D89" s="50"/>
      <c r="E89" s="50"/>
      <c r="F89" s="50"/>
      <c r="G89" s="50"/>
      <c r="H89" s="51"/>
      <c r="I89" s="51"/>
      <c r="J89" s="51"/>
      <c r="K89" s="51"/>
      <c r="L89" s="51"/>
      <c r="M89" s="51"/>
      <c r="N89" s="51"/>
      <c r="O89" s="51"/>
      <c r="P89" s="51"/>
      <c r="Q89" s="51"/>
      <c r="R89" s="51"/>
      <c r="S89" s="51"/>
      <c r="T89" s="51"/>
      <c r="U89" s="51"/>
      <c r="V89" s="51"/>
      <c r="W89" s="51"/>
      <c r="AB89" s="86"/>
      <c r="AC89" s="86"/>
      <c r="AD89" s="86"/>
      <c r="AE89" s="86"/>
      <c r="AF89" s="86"/>
      <c r="AG89" s="86"/>
      <c r="AH89" s="87"/>
      <c r="AI89" s="87"/>
      <c r="AJ89" s="87"/>
      <c r="AK89" s="87"/>
      <c r="AL89" s="87"/>
      <c r="AM89" s="87"/>
      <c r="AN89" s="87"/>
      <c r="AO89" s="87"/>
      <c r="AP89" s="87"/>
      <c r="AQ89" s="87"/>
      <c r="AR89" s="87"/>
      <c r="AS89" s="87"/>
      <c r="AT89" s="87"/>
      <c r="AU89" s="87"/>
      <c r="AV89" s="87"/>
      <c r="AW89" s="87"/>
      <c r="AX89" s="87"/>
      <c r="AY89" s="88"/>
      <c r="AZ89" s="88"/>
      <c r="BA89" s="88"/>
      <c r="BB89" s="89"/>
    </row>
    <row r="90" spans="1:54" x14ac:dyDescent="0.3">
      <c r="A90" s="50"/>
      <c r="B90" s="50"/>
      <c r="C90" s="50"/>
      <c r="D90" s="50"/>
      <c r="E90" s="50"/>
      <c r="F90" s="50"/>
      <c r="G90" s="50"/>
      <c r="H90" s="51"/>
      <c r="I90" s="51"/>
      <c r="J90" s="51"/>
      <c r="K90" s="51"/>
      <c r="L90" s="51"/>
      <c r="M90" s="51"/>
      <c r="N90" s="51"/>
      <c r="O90" s="51"/>
      <c r="P90" s="51"/>
      <c r="Q90" s="51"/>
      <c r="R90" s="51"/>
      <c r="S90" s="51"/>
      <c r="T90" s="51"/>
      <c r="U90" s="51"/>
      <c r="V90" s="51"/>
      <c r="W90" s="51"/>
      <c r="AB90" s="86"/>
      <c r="AC90" s="86"/>
      <c r="AD90" s="86"/>
      <c r="AE90" s="86"/>
      <c r="AF90" s="86"/>
      <c r="AG90" s="86"/>
      <c r="AH90" s="87"/>
      <c r="AI90" s="87"/>
      <c r="AJ90" s="87"/>
      <c r="AK90" s="87"/>
      <c r="AL90" s="87"/>
      <c r="AM90" s="87"/>
      <c r="AN90" s="87"/>
      <c r="AO90" s="87"/>
      <c r="AP90" s="87"/>
      <c r="AQ90" s="87"/>
      <c r="AR90" s="87"/>
      <c r="AS90" s="87"/>
      <c r="AT90" s="87"/>
      <c r="AU90" s="87"/>
      <c r="AV90" s="87"/>
      <c r="AW90" s="87"/>
      <c r="AX90" s="87"/>
      <c r="AY90" s="88"/>
      <c r="AZ90" s="88"/>
      <c r="BA90" s="88"/>
      <c r="BB90" s="89"/>
    </row>
    <row r="91" spans="1:54" x14ac:dyDescent="0.3">
      <c r="A91" s="50"/>
      <c r="B91" s="50"/>
      <c r="C91" s="50"/>
      <c r="D91" s="50"/>
      <c r="E91" s="50"/>
      <c r="F91" s="50"/>
      <c r="G91" s="50"/>
      <c r="H91" s="51"/>
      <c r="I91" s="51"/>
      <c r="J91" s="51"/>
      <c r="K91" s="51"/>
      <c r="L91" s="51"/>
      <c r="M91" s="51"/>
      <c r="N91" s="51"/>
      <c r="O91" s="51"/>
      <c r="P91" s="51"/>
      <c r="Q91" s="51"/>
      <c r="R91" s="51"/>
      <c r="S91" s="51"/>
      <c r="T91" s="51"/>
      <c r="U91" s="51"/>
      <c r="V91" s="51"/>
      <c r="W91" s="51"/>
      <c r="AB91" s="86"/>
      <c r="AC91" s="86"/>
      <c r="AD91" s="86"/>
      <c r="AE91" s="86"/>
      <c r="AF91" s="86"/>
      <c r="AG91" s="86"/>
      <c r="AH91" s="87"/>
      <c r="AI91" s="87"/>
      <c r="AJ91" s="87"/>
      <c r="AK91" s="87"/>
      <c r="AL91" s="87"/>
      <c r="AM91" s="87"/>
      <c r="AN91" s="87"/>
      <c r="AO91" s="87"/>
      <c r="AP91" s="87"/>
      <c r="AQ91" s="87"/>
      <c r="AR91" s="87"/>
      <c r="AS91" s="87"/>
      <c r="AT91" s="87"/>
      <c r="AU91" s="87"/>
      <c r="AV91" s="87"/>
      <c r="AW91" s="87"/>
      <c r="AX91" s="87"/>
      <c r="AY91" s="88"/>
      <c r="AZ91" s="88"/>
      <c r="BA91" s="88"/>
      <c r="BB91" s="89"/>
    </row>
    <row r="92" spans="1:54" x14ac:dyDescent="0.3">
      <c r="A92" s="50"/>
      <c r="B92" s="50"/>
      <c r="C92" s="50"/>
      <c r="D92" s="50"/>
      <c r="E92" s="50"/>
      <c r="F92" s="50" t="s">
        <v>134</v>
      </c>
      <c r="G92" s="50"/>
      <c r="H92" s="51"/>
      <c r="I92" s="51"/>
      <c r="J92" s="51"/>
      <c r="K92" s="51"/>
      <c r="L92" s="51"/>
      <c r="M92" s="51"/>
      <c r="N92" s="51"/>
      <c r="O92" s="51"/>
      <c r="P92" s="51"/>
      <c r="Q92" s="51"/>
      <c r="R92" s="51"/>
      <c r="S92" s="51"/>
      <c r="T92" s="51"/>
      <c r="U92" s="51"/>
      <c r="V92" s="51"/>
      <c r="W92" s="51"/>
      <c r="AB92" s="86"/>
      <c r="AC92" s="86"/>
      <c r="AD92" s="86"/>
      <c r="AE92" s="86"/>
      <c r="AF92" s="86" t="s">
        <v>134</v>
      </c>
      <c r="AG92" s="86"/>
      <c r="AH92" s="87"/>
      <c r="AI92" s="87"/>
      <c r="AJ92" s="87"/>
      <c r="AK92" s="87"/>
      <c r="AL92" s="87"/>
      <c r="AM92" s="87"/>
      <c r="AN92" s="87"/>
      <c r="AO92" s="87"/>
      <c r="AP92" s="87"/>
      <c r="AQ92" s="87"/>
      <c r="AR92" s="87"/>
      <c r="AS92" s="87"/>
      <c r="AT92" s="87"/>
      <c r="AU92" s="87"/>
      <c r="AV92" s="87"/>
      <c r="AW92" s="87"/>
      <c r="AX92" s="87"/>
      <c r="AY92" s="88"/>
      <c r="AZ92" s="88"/>
      <c r="BA92" s="88"/>
      <c r="BB92" s="89"/>
    </row>
    <row r="93" spans="1:54" x14ac:dyDescent="0.3">
      <c r="A93" s="50"/>
      <c r="B93" s="50"/>
      <c r="C93" s="50"/>
      <c r="D93" s="50"/>
      <c r="E93" s="50"/>
      <c r="F93" s="50"/>
      <c r="G93" s="50" t="s">
        <v>135</v>
      </c>
      <c r="H93" s="51">
        <v>0</v>
      </c>
      <c r="I93" s="51">
        <v>750</v>
      </c>
      <c r="J93" s="51">
        <v>750</v>
      </c>
      <c r="K93" s="51">
        <v>750</v>
      </c>
      <c r="L93" s="51">
        <v>600</v>
      </c>
      <c r="M93" s="51">
        <v>600</v>
      </c>
      <c r="N93" s="51">
        <v>0</v>
      </c>
      <c r="O93" s="51">
        <v>750</v>
      </c>
      <c r="P93" s="51">
        <v>600</v>
      </c>
      <c r="Q93" s="51">
        <v>750</v>
      </c>
      <c r="R93" s="51">
        <v>750</v>
      </c>
      <c r="S93" s="51">
        <v>1500</v>
      </c>
      <c r="T93" s="51"/>
      <c r="U93" s="51">
        <f t="shared" ref="U93:U124" si="34">ROUND(SUM(H93:T93),5)</f>
        <v>7800</v>
      </c>
      <c r="V93" s="67">
        <v>11250</v>
      </c>
      <c r="W93" s="67">
        <v>11250</v>
      </c>
      <c r="X93" s="68" t="s">
        <v>246</v>
      </c>
      <c r="AB93" s="86"/>
      <c r="AC93" s="86"/>
      <c r="AD93" s="86"/>
      <c r="AE93" s="86"/>
      <c r="AF93" s="86"/>
      <c r="AG93" s="86" t="s">
        <v>135</v>
      </c>
      <c r="AH93" s="87"/>
      <c r="AI93" s="87"/>
      <c r="AJ93" s="87"/>
      <c r="AK93" s="87"/>
      <c r="AL93" s="87">
        <v>0</v>
      </c>
      <c r="AM93" s="87">
        <v>750</v>
      </c>
      <c r="AN93" s="87">
        <v>750</v>
      </c>
      <c r="AO93" s="87">
        <v>1500</v>
      </c>
      <c r="AP93" s="87">
        <v>0</v>
      </c>
      <c r="AQ93" s="87">
        <v>750</v>
      </c>
      <c r="AR93" s="87">
        <v>0</v>
      </c>
      <c r="AS93" s="87">
        <v>750</v>
      </c>
      <c r="AT93" s="87">
        <v>750</v>
      </c>
      <c r="AU93" s="87">
        <v>1500</v>
      </c>
      <c r="AV93" s="87">
        <v>0</v>
      </c>
      <c r="AW93" s="87">
        <v>1500</v>
      </c>
      <c r="AX93" s="87"/>
      <c r="AY93" s="88">
        <f t="shared" ref="AY93:AY124" si="35">ROUND(SUM(AH93:AX93),5)</f>
        <v>8250</v>
      </c>
      <c r="AZ93" s="88">
        <v>10500</v>
      </c>
      <c r="BA93" s="88">
        <v>11250</v>
      </c>
      <c r="BB93" s="89" t="s">
        <v>246</v>
      </c>
    </row>
    <row r="94" spans="1:54" x14ac:dyDescent="0.3">
      <c r="A94" s="50"/>
      <c r="B94" s="50"/>
      <c r="C94" s="50"/>
      <c r="D94" s="50"/>
      <c r="E94" s="50"/>
      <c r="F94" s="50"/>
      <c r="G94" s="50" t="s">
        <v>136</v>
      </c>
      <c r="H94" s="51">
        <v>258.55</v>
      </c>
      <c r="I94" s="51">
        <v>206.84</v>
      </c>
      <c r="J94" s="51">
        <v>0</v>
      </c>
      <c r="K94" s="51">
        <v>210.34</v>
      </c>
      <c r="L94" s="51">
        <v>332.12</v>
      </c>
      <c r="M94" s="51">
        <v>403.48</v>
      </c>
      <c r="N94" s="51">
        <v>405.04</v>
      </c>
      <c r="O94" s="51">
        <v>200.52</v>
      </c>
      <c r="P94" s="51">
        <v>131.38999999999999</v>
      </c>
      <c r="Q94" s="51">
        <v>454.67</v>
      </c>
      <c r="R94" s="51">
        <v>340.52</v>
      </c>
      <c r="S94" s="51">
        <v>250</v>
      </c>
      <c r="T94" s="51"/>
      <c r="U94" s="51">
        <f t="shared" si="34"/>
        <v>3193.47</v>
      </c>
      <c r="V94" s="67">
        <v>3600</v>
      </c>
      <c r="W94" s="67">
        <v>3600</v>
      </c>
      <c r="AB94" s="86"/>
      <c r="AC94" s="86"/>
      <c r="AD94" s="86"/>
      <c r="AE94" s="86"/>
      <c r="AF94" s="86"/>
      <c r="AG94" s="86" t="s">
        <v>136</v>
      </c>
      <c r="AH94" s="87"/>
      <c r="AI94" s="87"/>
      <c r="AJ94" s="87"/>
      <c r="AK94" s="87"/>
      <c r="AL94" s="87">
        <v>343.33</v>
      </c>
      <c r="AM94" s="87">
        <v>145.52000000000001</v>
      </c>
      <c r="AN94" s="87">
        <v>48.86</v>
      </c>
      <c r="AO94" s="87">
        <v>178.2</v>
      </c>
      <c r="AP94" s="87">
        <v>34.76</v>
      </c>
      <c r="AQ94" s="87">
        <v>320.76</v>
      </c>
      <c r="AR94" s="87">
        <v>60.83</v>
      </c>
      <c r="AS94" s="87">
        <v>0</v>
      </c>
      <c r="AT94" s="87">
        <v>438.46</v>
      </c>
      <c r="AU94" s="87">
        <v>295.25</v>
      </c>
      <c r="AV94" s="87">
        <v>422.36</v>
      </c>
      <c r="AW94" s="87">
        <v>0</v>
      </c>
      <c r="AX94" s="87"/>
      <c r="AY94" s="88">
        <f t="shared" si="35"/>
        <v>2288.33</v>
      </c>
      <c r="AZ94" s="88">
        <v>3100</v>
      </c>
      <c r="BA94" s="88">
        <v>3600</v>
      </c>
      <c r="BB94" s="89" t="s">
        <v>250</v>
      </c>
    </row>
    <row r="95" spans="1:54" x14ac:dyDescent="0.3">
      <c r="A95" s="50"/>
      <c r="B95" s="50"/>
      <c r="C95" s="50"/>
      <c r="D95" s="50"/>
      <c r="E95" s="50"/>
      <c r="F95" s="50"/>
      <c r="G95" s="50" t="s">
        <v>137</v>
      </c>
      <c r="H95" s="51">
        <v>0</v>
      </c>
      <c r="I95" s="51">
        <v>260.75</v>
      </c>
      <c r="J95" s="51">
        <v>0</v>
      </c>
      <c r="K95" s="51">
        <v>260.63</v>
      </c>
      <c r="L95" s="51">
        <v>551.49</v>
      </c>
      <c r="M95" s="51">
        <v>0</v>
      </c>
      <c r="N95" s="51">
        <v>470.42</v>
      </c>
      <c r="O95" s="51">
        <v>210.39</v>
      </c>
      <c r="P95" s="51">
        <v>210.39</v>
      </c>
      <c r="Q95" s="51">
        <v>420.66</v>
      </c>
      <c r="R95" s="51">
        <v>0</v>
      </c>
      <c r="S95" s="51">
        <v>512.9</v>
      </c>
      <c r="T95" s="51"/>
      <c r="U95" s="51">
        <f t="shared" si="34"/>
        <v>2897.63</v>
      </c>
      <c r="V95" s="67">
        <v>3300</v>
      </c>
      <c r="W95" s="67">
        <v>3300</v>
      </c>
      <c r="AB95" s="86"/>
      <c r="AC95" s="86"/>
      <c r="AD95" s="86"/>
      <c r="AE95" s="86"/>
      <c r="AF95" s="86"/>
      <c r="AG95" s="86" t="s">
        <v>137</v>
      </c>
      <c r="AH95" s="87"/>
      <c r="AI95" s="87"/>
      <c r="AJ95" s="87"/>
      <c r="AK95" s="87"/>
      <c r="AL95" s="87">
        <v>241.34</v>
      </c>
      <c r="AM95" s="87">
        <v>372.18</v>
      </c>
      <c r="AN95" s="87">
        <v>296.32</v>
      </c>
      <c r="AO95" s="87">
        <v>0</v>
      </c>
      <c r="AP95" s="87">
        <v>517.34</v>
      </c>
      <c r="AQ95" s="87">
        <v>256.20999999999998</v>
      </c>
      <c r="AR95" s="87">
        <v>256.41000000000003</v>
      </c>
      <c r="AS95" s="87">
        <v>256.41000000000003</v>
      </c>
      <c r="AT95" s="87">
        <v>256.41000000000003</v>
      </c>
      <c r="AU95" s="87">
        <v>256.47000000000003</v>
      </c>
      <c r="AV95" s="87">
        <v>240.82</v>
      </c>
      <c r="AW95" s="87">
        <v>240.82</v>
      </c>
      <c r="AX95" s="87"/>
      <c r="AY95" s="88">
        <f t="shared" si="35"/>
        <v>3190.73</v>
      </c>
      <c r="AZ95" s="88">
        <v>3900</v>
      </c>
      <c r="BA95" s="88">
        <v>3300</v>
      </c>
      <c r="BB95" s="89"/>
    </row>
    <row r="96" spans="1:54" ht="13.8" customHeight="1" x14ac:dyDescent="0.3">
      <c r="A96" s="50"/>
      <c r="B96" s="50"/>
      <c r="C96" s="50"/>
      <c r="D96" s="50"/>
      <c r="E96" s="50"/>
      <c r="F96" s="50"/>
      <c r="G96" s="50" t="s">
        <v>138</v>
      </c>
      <c r="H96" s="51">
        <v>0</v>
      </c>
      <c r="I96" s="51">
        <v>0</v>
      </c>
      <c r="J96" s="51">
        <v>0</v>
      </c>
      <c r="K96" s="51">
        <v>0</v>
      </c>
      <c r="L96" s="51">
        <v>0</v>
      </c>
      <c r="M96" s="51">
        <v>0</v>
      </c>
      <c r="N96" s="51">
        <v>0</v>
      </c>
      <c r="O96" s="51">
        <v>0</v>
      </c>
      <c r="P96" s="51">
        <v>0</v>
      </c>
      <c r="Q96" s="51">
        <v>0</v>
      </c>
      <c r="R96" s="51">
        <v>0</v>
      </c>
      <c r="S96" s="51">
        <v>0</v>
      </c>
      <c r="T96" s="51"/>
      <c r="U96" s="51">
        <f t="shared" si="34"/>
        <v>0</v>
      </c>
      <c r="V96" s="67">
        <v>0</v>
      </c>
      <c r="W96" s="67">
        <v>1200</v>
      </c>
      <c r="X96" s="68" t="s">
        <v>295</v>
      </c>
      <c r="AB96" s="86"/>
      <c r="AC96" s="86"/>
      <c r="AD96" s="86"/>
      <c r="AE96" s="86"/>
      <c r="AF96" s="86"/>
      <c r="AG96" s="86" t="s">
        <v>138</v>
      </c>
      <c r="AH96" s="87"/>
      <c r="AI96" s="87"/>
      <c r="AJ96" s="87"/>
      <c r="AK96" s="87"/>
      <c r="AL96" s="87">
        <v>0</v>
      </c>
      <c r="AM96" s="87">
        <v>0</v>
      </c>
      <c r="AN96" s="87">
        <v>0</v>
      </c>
      <c r="AO96" s="87">
        <v>0</v>
      </c>
      <c r="AP96" s="87">
        <v>0</v>
      </c>
      <c r="AQ96" s="87">
        <v>0</v>
      </c>
      <c r="AR96" s="87">
        <v>0</v>
      </c>
      <c r="AS96" s="87">
        <v>0</v>
      </c>
      <c r="AT96" s="87">
        <v>0</v>
      </c>
      <c r="AU96" s="87">
        <v>0</v>
      </c>
      <c r="AV96" s="87">
        <v>0</v>
      </c>
      <c r="AW96" s="87">
        <v>0</v>
      </c>
      <c r="AX96" s="87"/>
      <c r="AY96" s="88">
        <f t="shared" si="35"/>
        <v>0</v>
      </c>
      <c r="AZ96" s="88">
        <v>1100</v>
      </c>
      <c r="BA96" s="88">
        <v>0</v>
      </c>
      <c r="BB96" s="89" t="s">
        <v>248</v>
      </c>
    </row>
    <row r="97" spans="1:54" x14ac:dyDescent="0.3">
      <c r="A97" s="50"/>
      <c r="B97" s="50"/>
      <c r="C97" s="50"/>
      <c r="D97" s="50"/>
      <c r="E97" s="50"/>
      <c r="F97" s="50"/>
      <c r="G97" s="50" t="s">
        <v>139</v>
      </c>
      <c r="H97" s="51">
        <v>1321.74</v>
      </c>
      <c r="I97" s="51">
        <v>1321.74</v>
      </c>
      <c r="J97" s="51">
        <v>1321.74</v>
      </c>
      <c r="K97" s="51">
        <v>1321.74</v>
      </c>
      <c r="L97" s="51">
        <v>1371.24</v>
      </c>
      <c r="M97" s="51">
        <v>1371.24</v>
      </c>
      <c r="N97" s="51">
        <v>1371.24</v>
      </c>
      <c r="O97" s="51">
        <v>1371.24</v>
      </c>
      <c r="P97" s="51">
        <v>1371.24</v>
      </c>
      <c r="Q97" s="51">
        <v>1424.65</v>
      </c>
      <c r="R97" s="51">
        <v>1371.24</v>
      </c>
      <c r="S97" s="51">
        <v>1371.24</v>
      </c>
      <c r="T97" s="51"/>
      <c r="U97" s="51">
        <f t="shared" si="34"/>
        <v>16310.29</v>
      </c>
      <c r="V97" s="67">
        <v>15900</v>
      </c>
      <c r="W97" s="67">
        <v>20500</v>
      </c>
      <c r="X97" s="68" t="s">
        <v>302</v>
      </c>
      <c r="AB97" s="86"/>
      <c r="AC97" s="86"/>
      <c r="AD97" s="86"/>
      <c r="AE97" s="86"/>
      <c r="AF97" s="86"/>
      <c r="AG97" s="86" t="s">
        <v>139</v>
      </c>
      <c r="AH97" s="87"/>
      <c r="AI97" s="87"/>
      <c r="AJ97" s="87"/>
      <c r="AK97" s="87"/>
      <c r="AL97" s="87">
        <v>1196.9100000000001</v>
      </c>
      <c r="AM97" s="87">
        <v>1196.9100000000001</v>
      </c>
      <c r="AN97" s="87">
        <v>1196.9100000000001</v>
      </c>
      <c r="AO97" s="87">
        <v>1196.9100000000001</v>
      </c>
      <c r="AP97" s="87">
        <v>1196.9100000000001</v>
      </c>
      <c r="AQ97" s="87">
        <v>1196.9100000000001</v>
      </c>
      <c r="AR97" s="87">
        <v>1196.9100000000001</v>
      </c>
      <c r="AS97" s="87">
        <v>1196.9100000000001</v>
      </c>
      <c r="AT97" s="87">
        <v>1196.9100000000001</v>
      </c>
      <c r="AU97" s="87">
        <v>1196.9100000000001</v>
      </c>
      <c r="AV97" s="87">
        <v>1196.9100000000001</v>
      </c>
      <c r="AW97" s="87">
        <v>1196.9100000000001</v>
      </c>
      <c r="AX97" s="87"/>
      <c r="AY97" s="88">
        <f t="shared" si="35"/>
        <v>14362.92</v>
      </c>
      <c r="AZ97" s="88">
        <v>14400</v>
      </c>
      <c r="BA97" s="88">
        <v>15900</v>
      </c>
      <c r="BB97" s="89" t="s">
        <v>255</v>
      </c>
    </row>
    <row r="98" spans="1:54" x14ac:dyDescent="0.3">
      <c r="A98" s="50"/>
      <c r="B98" s="50"/>
      <c r="C98" s="50"/>
      <c r="D98" s="50"/>
      <c r="E98" s="50"/>
      <c r="F98" s="50"/>
      <c r="G98" s="50" t="s">
        <v>140</v>
      </c>
      <c r="H98" s="51">
        <v>0</v>
      </c>
      <c r="I98" s="51">
        <v>120</v>
      </c>
      <c r="J98" s="51">
        <v>0</v>
      </c>
      <c r="K98" s="51">
        <v>2669</v>
      </c>
      <c r="L98" s="51">
        <v>284</v>
      </c>
      <c r="M98" s="51">
        <v>0</v>
      </c>
      <c r="N98" s="51">
        <v>0</v>
      </c>
      <c r="O98" s="51">
        <v>175</v>
      </c>
      <c r="P98" s="51">
        <v>0</v>
      </c>
      <c r="Q98" s="51">
        <v>300</v>
      </c>
      <c r="R98" s="51">
        <v>0</v>
      </c>
      <c r="S98" s="51">
        <v>0</v>
      </c>
      <c r="T98" s="51"/>
      <c r="U98" s="51">
        <f t="shared" si="34"/>
        <v>3548</v>
      </c>
      <c r="V98" s="67">
        <v>2600</v>
      </c>
      <c r="W98" s="67">
        <v>3600</v>
      </c>
      <c r="X98" s="68" t="s">
        <v>258</v>
      </c>
      <c r="AB98" s="86"/>
      <c r="AC98" s="86"/>
      <c r="AD98" s="86"/>
      <c r="AE98" s="86"/>
      <c r="AF98" s="86"/>
      <c r="AG98" s="86" t="s">
        <v>140</v>
      </c>
      <c r="AH98" s="87"/>
      <c r="AI98" s="87"/>
      <c r="AJ98" s="87"/>
      <c r="AK98" s="87"/>
      <c r="AL98" s="87">
        <v>120</v>
      </c>
      <c r="AM98" s="87">
        <v>75</v>
      </c>
      <c r="AN98" s="87">
        <v>0</v>
      </c>
      <c r="AO98" s="87">
        <v>0</v>
      </c>
      <c r="AP98" s="87">
        <v>395</v>
      </c>
      <c r="AQ98" s="87">
        <v>1230</v>
      </c>
      <c r="AR98" s="87">
        <v>584</v>
      </c>
      <c r="AS98" s="87">
        <v>0</v>
      </c>
      <c r="AT98" s="87">
        <v>0</v>
      </c>
      <c r="AU98" s="87">
        <v>0</v>
      </c>
      <c r="AV98" s="87">
        <v>0</v>
      </c>
      <c r="AW98" s="87">
        <v>0</v>
      </c>
      <c r="AX98" s="87"/>
      <c r="AY98" s="88">
        <f t="shared" si="35"/>
        <v>2404</v>
      </c>
      <c r="AZ98" s="88">
        <v>2600</v>
      </c>
      <c r="BA98" s="88">
        <v>2600</v>
      </c>
      <c r="BB98" s="89"/>
    </row>
    <row r="99" spans="1:54" x14ac:dyDescent="0.3">
      <c r="A99" s="50"/>
      <c r="B99" s="50"/>
      <c r="C99" s="50"/>
      <c r="D99" s="50"/>
      <c r="E99" s="50"/>
      <c r="F99" s="50"/>
      <c r="G99" s="50" t="s">
        <v>141</v>
      </c>
      <c r="H99" s="51">
        <v>16</v>
      </c>
      <c r="I99" s="51">
        <v>16</v>
      </c>
      <c r="J99" s="51">
        <v>16</v>
      </c>
      <c r="K99" s="51">
        <v>16</v>
      </c>
      <c r="L99" s="51">
        <v>31</v>
      </c>
      <c r="M99" s="51">
        <v>16</v>
      </c>
      <c r="N99" s="51">
        <v>16</v>
      </c>
      <c r="O99" s="51">
        <v>26</v>
      </c>
      <c r="P99" s="51">
        <v>16</v>
      </c>
      <c r="Q99" s="51">
        <v>26</v>
      </c>
      <c r="R99" s="51">
        <v>16</v>
      </c>
      <c r="S99" s="51">
        <v>16</v>
      </c>
      <c r="T99" s="51"/>
      <c r="U99" s="51">
        <f t="shared" si="34"/>
        <v>227</v>
      </c>
      <c r="V99" s="67">
        <v>300</v>
      </c>
      <c r="W99" s="67">
        <v>300</v>
      </c>
      <c r="AB99" s="86"/>
      <c r="AC99" s="86"/>
      <c r="AD99" s="86"/>
      <c r="AE99" s="86"/>
      <c r="AF99" s="86"/>
      <c r="AG99" s="86" t="s">
        <v>141</v>
      </c>
      <c r="AH99" s="87"/>
      <c r="AI99" s="87"/>
      <c r="AJ99" s="87"/>
      <c r="AK99" s="87"/>
      <c r="AL99" s="87">
        <v>21</v>
      </c>
      <c r="AM99" s="87">
        <v>21</v>
      </c>
      <c r="AN99" s="87">
        <v>21</v>
      </c>
      <c r="AO99" s="87">
        <v>56</v>
      </c>
      <c r="AP99" s="87">
        <v>21</v>
      </c>
      <c r="AQ99" s="87">
        <v>21</v>
      </c>
      <c r="AR99" s="87">
        <v>21</v>
      </c>
      <c r="AS99" s="87">
        <v>16</v>
      </c>
      <c r="AT99" s="87">
        <v>16</v>
      </c>
      <c r="AU99" s="87">
        <v>16</v>
      </c>
      <c r="AV99" s="87">
        <v>21</v>
      </c>
      <c r="AW99" s="87">
        <v>21</v>
      </c>
      <c r="AX99" s="87"/>
      <c r="AY99" s="88">
        <f t="shared" si="35"/>
        <v>272</v>
      </c>
      <c r="AZ99" s="88">
        <v>800</v>
      </c>
      <c r="BA99" s="88">
        <v>300</v>
      </c>
      <c r="BB99" s="89"/>
    </row>
    <row r="100" spans="1:54" x14ac:dyDescent="0.3">
      <c r="A100" s="50"/>
      <c r="B100" s="50"/>
      <c r="C100" s="50"/>
      <c r="D100" s="50"/>
      <c r="E100" s="50"/>
      <c r="F100" s="50"/>
      <c r="G100" s="50" t="s">
        <v>142</v>
      </c>
      <c r="H100" s="51">
        <v>0</v>
      </c>
      <c r="I100" s="51">
        <v>0</v>
      </c>
      <c r="J100" s="51">
        <v>0</v>
      </c>
      <c r="K100" s="51">
        <v>0</v>
      </c>
      <c r="L100" s="51">
        <v>0</v>
      </c>
      <c r="M100" s="51">
        <v>0</v>
      </c>
      <c r="N100" s="51">
        <v>0</v>
      </c>
      <c r="O100" s="51">
        <v>0</v>
      </c>
      <c r="P100" s="51">
        <v>0</v>
      </c>
      <c r="Q100" s="51">
        <v>149.9</v>
      </c>
      <c r="R100" s="51">
        <v>2.99</v>
      </c>
      <c r="S100" s="51">
        <v>0</v>
      </c>
      <c r="T100" s="51"/>
      <c r="U100" s="51">
        <f t="shared" si="34"/>
        <v>152.88999999999999</v>
      </c>
      <c r="V100" s="67">
        <v>2000</v>
      </c>
      <c r="W100" s="67">
        <v>500</v>
      </c>
      <c r="AB100" s="86"/>
      <c r="AC100" s="86"/>
      <c r="AD100" s="86"/>
      <c r="AE100" s="86"/>
      <c r="AF100" s="86"/>
      <c r="AG100" s="86" t="s">
        <v>142</v>
      </c>
      <c r="AH100" s="87"/>
      <c r="AI100" s="87"/>
      <c r="AJ100" s="87"/>
      <c r="AK100" s="87"/>
      <c r="AL100" s="87">
        <v>0</v>
      </c>
      <c r="AM100" s="87">
        <v>0</v>
      </c>
      <c r="AN100" s="87">
        <v>0</v>
      </c>
      <c r="AO100" s="87">
        <v>0</v>
      </c>
      <c r="AP100" s="87">
        <v>837.34</v>
      </c>
      <c r="AQ100" s="87">
        <v>0</v>
      </c>
      <c r="AR100" s="87">
        <v>0</v>
      </c>
      <c r="AS100" s="87">
        <v>0</v>
      </c>
      <c r="AT100" s="87">
        <v>0</v>
      </c>
      <c r="AU100" s="87">
        <v>0</v>
      </c>
      <c r="AV100" s="87">
        <v>0</v>
      </c>
      <c r="AW100" s="87">
        <v>1850</v>
      </c>
      <c r="AX100" s="87"/>
      <c r="AY100" s="88">
        <f t="shared" si="35"/>
        <v>2687.34</v>
      </c>
      <c r="AZ100" s="88">
        <v>1500</v>
      </c>
      <c r="BA100" s="88">
        <v>2000</v>
      </c>
      <c r="BB100" s="89" t="s">
        <v>258</v>
      </c>
    </row>
    <row r="101" spans="1:54" x14ac:dyDescent="0.3">
      <c r="A101" s="50"/>
      <c r="B101" s="50"/>
      <c r="C101" s="50"/>
      <c r="D101" s="50"/>
      <c r="E101" s="50"/>
      <c r="F101" s="50"/>
      <c r="G101" s="50" t="s">
        <v>143</v>
      </c>
      <c r="H101" s="51">
        <v>2.99</v>
      </c>
      <c r="I101" s="51">
        <v>356.44</v>
      </c>
      <c r="J101" s="51">
        <v>356.92</v>
      </c>
      <c r="K101" s="51">
        <v>356.92</v>
      </c>
      <c r="L101" s="51">
        <v>848.03</v>
      </c>
      <c r="M101" s="51">
        <v>497.98</v>
      </c>
      <c r="N101" s="51">
        <v>354.64</v>
      </c>
      <c r="O101" s="51">
        <v>371.91</v>
      </c>
      <c r="P101" s="51">
        <v>815.47</v>
      </c>
      <c r="Q101" s="51">
        <v>374.57</v>
      </c>
      <c r="R101" s="51">
        <v>0</v>
      </c>
      <c r="S101" s="51">
        <v>566.09</v>
      </c>
      <c r="T101" s="51"/>
      <c r="U101" s="51">
        <f t="shared" si="34"/>
        <v>4901.96</v>
      </c>
      <c r="V101" s="67">
        <v>7000</v>
      </c>
      <c r="W101" s="67">
        <v>7000</v>
      </c>
      <c r="AB101" s="86"/>
      <c r="AC101" s="86"/>
      <c r="AD101" s="86"/>
      <c r="AE101" s="86"/>
      <c r="AF101" s="86"/>
      <c r="AG101" s="86" t="s">
        <v>143</v>
      </c>
      <c r="AH101" s="87"/>
      <c r="AI101" s="87"/>
      <c r="AJ101" s="87"/>
      <c r="AK101" s="87"/>
      <c r="AL101" s="87">
        <v>2.99</v>
      </c>
      <c r="AM101" s="87">
        <v>488.86</v>
      </c>
      <c r="AN101" s="87">
        <v>346.22</v>
      </c>
      <c r="AO101" s="87">
        <v>418.45</v>
      </c>
      <c r="AP101" s="87">
        <v>349.26</v>
      </c>
      <c r="AQ101" s="87">
        <v>350.07</v>
      </c>
      <c r="AR101" s="87">
        <v>620.41999999999996</v>
      </c>
      <c r="AS101" s="87">
        <v>349.84</v>
      </c>
      <c r="AT101" s="87">
        <v>350.02</v>
      </c>
      <c r="AU101" s="87">
        <v>496.21</v>
      </c>
      <c r="AV101" s="87">
        <v>887.43</v>
      </c>
      <c r="AW101" s="87">
        <v>361.82</v>
      </c>
      <c r="AX101" s="87"/>
      <c r="AY101" s="88">
        <f t="shared" si="35"/>
        <v>5021.59</v>
      </c>
      <c r="AZ101" s="88">
        <v>7000</v>
      </c>
      <c r="BA101" s="88">
        <v>7000</v>
      </c>
      <c r="BB101" s="89"/>
    </row>
    <row r="102" spans="1:54" x14ac:dyDescent="0.3">
      <c r="A102" s="50"/>
      <c r="B102" s="50"/>
      <c r="C102" s="50"/>
      <c r="D102" s="50"/>
      <c r="E102" s="50"/>
      <c r="F102" s="50"/>
      <c r="G102" s="50" t="s">
        <v>144</v>
      </c>
      <c r="H102" s="51">
        <v>0</v>
      </c>
      <c r="I102" s="51">
        <v>0</v>
      </c>
      <c r="J102" s="51">
        <v>0</v>
      </c>
      <c r="K102" s="51">
        <v>0</v>
      </c>
      <c r="L102" s="51">
        <v>0</v>
      </c>
      <c r="M102" s="51">
        <v>0</v>
      </c>
      <c r="N102" s="51">
        <v>418.65</v>
      </c>
      <c r="O102" s="51">
        <v>0</v>
      </c>
      <c r="P102" s="51">
        <v>270.52</v>
      </c>
      <c r="Q102" s="51">
        <v>0</v>
      </c>
      <c r="R102" s="51">
        <v>0</v>
      </c>
      <c r="S102" s="51">
        <v>0</v>
      </c>
      <c r="T102" s="51"/>
      <c r="U102" s="51">
        <f t="shared" si="34"/>
        <v>689.17</v>
      </c>
      <c r="V102" s="67">
        <v>0</v>
      </c>
      <c r="W102" s="67">
        <v>1000</v>
      </c>
      <c r="X102" s="68" t="s">
        <v>296</v>
      </c>
      <c r="AB102" s="86"/>
      <c r="AC102" s="86"/>
      <c r="AD102" s="86"/>
      <c r="AE102" s="86"/>
      <c r="AF102" s="86"/>
      <c r="AG102" s="86" t="s">
        <v>144</v>
      </c>
      <c r="AH102" s="87"/>
      <c r="AI102" s="87"/>
      <c r="AJ102" s="87"/>
      <c r="AK102" s="87"/>
      <c r="AL102" s="87">
        <v>0</v>
      </c>
      <c r="AM102" s="87">
        <v>0</v>
      </c>
      <c r="AN102" s="87">
        <v>0</v>
      </c>
      <c r="AO102" s="87">
        <v>0</v>
      </c>
      <c r="AP102" s="87">
        <v>0</v>
      </c>
      <c r="AQ102" s="87">
        <v>0</v>
      </c>
      <c r="AR102" s="87">
        <v>0</v>
      </c>
      <c r="AS102" s="87">
        <v>0</v>
      </c>
      <c r="AT102" s="87">
        <v>0</v>
      </c>
      <c r="AU102" s="87">
        <v>0</v>
      </c>
      <c r="AV102" s="87">
        <v>0</v>
      </c>
      <c r="AW102" s="87">
        <v>0</v>
      </c>
      <c r="AX102" s="87"/>
      <c r="AY102" s="88">
        <f t="shared" si="35"/>
        <v>0</v>
      </c>
      <c r="AZ102" s="88">
        <v>1200</v>
      </c>
      <c r="BA102" s="88">
        <v>0</v>
      </c>
      <c r="BB102" s="89" t="s">
        <v>248</v>
      </c>
    </row>
    <row r="103" spans="1:54" x14ac:dyDescent="0.3">
      <c r="A103" s="50"/>
      <c r="B103" s="50"/>
      <c r="C103" s="50"/>
      <c r="D103" s="50"/>
      <c r="E103" s="50"/>
      <c r="F103" s="50"/>
      <c r="G103" s="50" t="s">
        <v>145</v>
      </c>
      <c r="H103" s="51">
        <v>364.31</v>
      </c>
      <c r="I103" s="51">
        <v>41.55</v>
      </c>
      <c r="J103" s="51">
        <v>778.44</v>
      </c>
      <c r="K103" s="51">
        <v>71.599999999999994</v>
      </c>
      <c r="L103" s="51">
        <v>0</v>
      </c>
      <c r="M103" s="51">
        <v>601.58000000000004</v>
      </c>
      <c r="N103" s="51">
        <v>0</v>
      </c>
      <c r="O103" s="51">
        <v>0</v>
      </c>
      <c r="P103" s="51">
        <v>411.56</v>
      </c>
      <c r="Q103" s="51">
        <v>137.16999999999999</v>
      </c>
      <c r="R103" s="51">
        <v>0</v>
      </c>
      <c r="S103" s="51">
        <v>134.16</v>
      </c>
      <c r="T103" s="51"/>
      <c r="U103" s="51">
        <f t="shared" si="34"/>
        <v>2540.37</v>
      </c>
      <c r="V103" s="67">
        <v>3000</v>
      </c>
      <c r="W103" s="67">
        <v>3000</v>
      </c>
      <c r="AB103" s="86"/>
      <c r="AC103" s="86"/>
      <c r="AD103" s="86"/>
      <c r="AE103" s="86"/>
      <c r="AF103" s="86"/>
      <c r="AG103" s="86" t="s">
        <v>145</v>
      </c>
      <c r="AH103" s="87"/>
      <c r="AI103" s="87"/>
      <c r="AJ103" s="87"/>
      <c r="AK103" s="87"/>
      <c r="AL103" s="87">
        <v>195.95</v>
      </c>
      <c r="AM103" s="87">
        <v>275.38</v>
      </c>
      <c r="AN103" s="87">
        <v>60.79</v>
      </c>
      <c r="AO103" s="87">
        <v>107.39</v>
      </c>
      <c r="AP103" s="87">
        <v>191.56</v>
      </c>
      <c r="AQ103" s="87">
        <v>69.58</v>
      </c>
      <c r="AR103" s="87">
        <v>0</v>
      </c>
      <c r="AS103" s="87">
        <v>89.08</v>
      </c>
      <c r="AT103" s="87">
        <v>113.48</v>
      </c>
      <c r="AU103" s="87">
        <v>162.65</v>
      </c>
      <c r="AV103" s="87">
        <v>59.88</v>
      </c>
      <c r="AW103" s="87">
        <v>17.399999999999999</v>
      </c>
      <c r="AX103" s="87"/>
      <c r="AY103" s="88">
        <f t="shared" si="35"/>
        <v>1343.14</v>
      </c>
      <c r="AZ103" s="88">
        <v>3000</v>
      </c>
      <c r="BA103" s="88">
        <v>3000</v>
      </c>
      <c r="BB103" s="89"/>
    </row>
    <row r="104" spans="1:54" x14ac:dyDescent="0.3">
      <c r="A104" s="50"/>
      <c r="B104" s="50"/>
      <c r="C104" s="50"/>
      <c r="D104" s="50"/>
      <c r="E104" s="50"/>
      <c r="F104" s="50"/>
      <c r="G104" s="50" t="s">
        <v>146</v>
      </c>
      <c r="H104" s="51">
        <v>0</v>
      </c>
      <c r="I104" s="51">
        <v>0</v>
      </c>
      <c r="J104" s="51">
        <v>160.51</v>
      </c>
      <c r="K104" s="51">
        <v>232</v>
      </c>
      <c r="L104" s="51">
        <v>0</v>
      </c>
      <c r="M104" s="51">
        <v>0</v>
      </c>
      <c r="N104" s="51">
        <v>0</v>
      </c>
      <c r="O104" s="51">
        <v>0</v>
      </c>
      <c r="P104" s="51">
        <v>0</v>
      </c>
      <c r="Q104" s="51">
        <v>232</v>
      </c>
      <c r="R104" s="51">
        <v>0</v>
      </c>
      <c r="S104" s="51">
        <v>245</v>
      </c>
      <c r="T104" s="51"/>
      <c r="U104" s="51">
        <f t="shared" si="34"/>
        <v>869.51</v>
      </c>
      <c r="V104" s="67">
        <v>1000</v>
      </c>
      <c r="W104" s="67">
        <v>1000</v>
      </c>
      <c r="AB104" s="86"/>
      <c r="AC104" s="86"/>
      <c r="AD104" s="86"/>
      <c r="AE104" s="86"/>
      <c r="AF104" s="86"/>
      <c r="AG104" s="86" t="s">
        <v>146</v>
      </c>
      <c r="AH104" s="87"/>
      <c r="AI104" s="87"/>
      <c r="AJ104" s="87"/>
      <c r="AK104" s="87"/>
      <c r="AL104" s="87">
        <v>110</v>
      </c>
      <c r="AM104" s="87">
        <v>0</v>
      </c>
      <c r="AN104" s="87">
        <v>136.35</v>
      </c>
      <c r="AO104" s="87">
        <v>0</v>
      </c>
      <c r="AP104" s="87">
        <v>0</v>
      </c>
      <c r="AQ104" s="87">
        <v>0</v>
      </c>
      <c r="AR104" s="87">
        <v>220</v>
      </c>
      <c r="AS104" s="87">
        <v>0</v>
      </c>
      <c r="AT104" s="87">
        <v>0</v>
      </c>
      <c r="AU104" s="87">
        <v>44.39</v>
      </c>
      <c r="AV104" s="87">
        <v>0</v>
      </c>
      <c r="AW104" s="87">
        <v>240</v>
      </c>
      <c r="AX104" s="87"/>
      <c r="AY104" s="88">
        <f t="shared" si="35"/>
        <v>750.74</v>
      </c>
      <c r="AZ104" s="88">
        <v>1000</v>
      </c>
      <c r="BA104" s="88">
        <v>1000</v>
      </c>
      <c r="BB104" s="89"/>
    </row>
    <row r="105" spans="1:54" x14ac:dyDescent="0.3">
      <c r="A105" s="50"/>
      <c r="B105" s="50"/>
      <c r="C105" s="50"/>
      <c r="D105" s="50"/>
      <c r="E105" s="50"/>
      <c r="F105" s="50"/>
      <c r="G105" s="50" t="s">
        <v>147</v>
      </c>
      <c r="H105" s="51">
        <v>0</v>
      </c>
      <c r="I105" s="51">
        <v>0</v>
      </c>
      <c r="J105" s="51">
        <v>0</v>
      </c>
      <c r="K105" s="51">
        <v>0</v>
      </c>
      <c r="L105" s="51">
        <v>803.32</v>
      </c>
      <c r="M105" s="51">
        <v>0</v>
      </c>
      <c r="N105" s="51">
        <v>0</v>
      </c>
      <c r="O105" s="51">
        <v>0</v>
      </c>
      <c r="P105" s="51">
        <v>5.98</v>
      </c>
      <c r="Q105" s="51">
        <v>0</v>
      </c>
      <c r="R105" s="51">
        <v>0</v>
      </c>
      <c r="S105" s="51">
        <v>369.97</v>
      </c>
      <c r="T105" s="51"/>
      <c r="U105" s="51">
        <f t="shared" si="34"/>
        <v>1179.27</v>
      </c>
      <c r="V105" s="67">
        <v>2500</v>
      </c>
      <c r="W105" s="67">
        <v>2500</v>
      </c>
      <c r="AB105" s="86"/>
      <c r="AC105" s="86"/>
      <c r="AD105" s="86"/>
      <c r="AE105" s="86"/>
      <c r="AF105" s="86"/>
      <c r="AG105" s="86" t="s">
        <v>147</v>
      </c>
      <c r="AH105" s="87"/>
      <c r="AI105" s="87"/>
      <c r="AJ105" s="87"/>
      <c r="AK105" s="87"/>
      <c r="AL105" s="87">
        <v>42.34</v>
      </c>
      <c r="AM105" s="87">
        <v>0</v>
      </c>
      <c r="AN105" s="87">
        <v>0</v>
      </c>
      <c r="AO105" s="87">
        <v>0</v>
      </c>
      <c r="AP105" s="87">
        <v>0</v>
      </c>
      <c r="AQ105" s="87">
        <v>0</v>
      </c>
      <c r="AR105" s="87">
        <v>0</v>
      </c>
      <c r="AS105" s="87">
        <v>0</v>
      </c>
      <c r="AT105" s="87">
        <v>0</v>
      </c>
      <c r="AU105" s="87">
        <v>195.72</v>
      </c>
      <c r="AV105" s="87">
        <v>570.48</v>
      </c>
      <c r="AW105" s="87">
        <v>2.99</v>
      </c>
      <c r="AX105" s="87"/>
      <c r="AY105" s="88">
        <f t="shared" si="35"/>
        <v>811.53</v>
      </c>
      <c r="AZ105" s="88">
        <v>4000</v>
      </c>
      <c r="BA105" s="88">
        <v>2500</v>
      </c>
      <c r="BB105" s="89"/>
    </row>
    <row r="106" spans="1:54" x14ac:dyDescent="0.3">
      <c r="A106" s="50"/>
      <c r="B106" s="50"/>
      <c r="C106" s="50"/>
      <c r="D106" s="50"/>
      <c r="E106" s="50"/>
      <c r="F106" s="50"/>
      <c r="G106" s="50" t="s">
        <v>232</v>
      </c>
      <c r="H106" s="51">
        <v>92.05</v>
      </c>
      <c r="I106" s="51">
        <v>0</v>
      </c>
      <c r="J106" s="51">
        <v>0</v>
      </c>
      <c r="K106" s="51">
        <v>0</v>
      </c>
      <c r="L106" s="51">
        <v>0</v>
      </c>
      <c r="M106" s="51">
        <v>0</v>
      </c>
      <c r="N106" s="51">
        <v>0</v>
      </c>
      <c r="O106" s="51">
        <v>53.22</v>
      </c>
      <c r="P106" s="51">
        <v>0</v>
      </c>
      <c r="Q106" s="51">
        <v>30.5</v>
      </c>
      <c r="R106" s="51">
        <v>0</v>
      </c>
      <c r="S106" s="51">
        <v>0</v>
      </c>
      <c r="T106" s="51"/>
      <c r="U106" s="51">
        <f t="shared" si="34"/>
        <v>175.77</v>
      </c>
      <c r="V106" s="67">
        <v>2400</v>
      </c>
      <c r="W106" s="67">
        <v>2400</v>
      </c>
      <c r="AB106" s="86"/>
      <c r="AC106" s="86"/>
      <c r="AD106" s="86"/>
      <c r="AE106" s="86"/>
      <c r="AF106" s="86"/>
      <c r="AG106" s="86" t="s">
        <v>232</v>
      </c>
      <c r="AH106" s="87"/>
      <c r="AI106" s="87"/>
      <c r="AJ106" s="87"/>
      <c r="AK106" s="87"/>
      <c r="AL106" s="87">
        <v>0</v>
      </c>
      <c r="AM106" s="87">
        <v>22.04</v>
      </c>
      <c r="AN106" s="87">
        <v>0</v>
      </c>
      <c r="AO106" s="87">
        <v>0</v>
      </c>
      <c r="AP106" s="87">
        <v>0</v>
      </c>
      <c r="AQ106" s="87">
        <v>0</v>
      </c>
      <c r="AR106" s="87">
        <v>0</v>
      </c>
      <c r="AS106" s="87">
        <v>0</v>
      </c>
      <c r="AT106" s="87">
        <v>0</v>
      </c>
      <c r="AU106" s="87">
        <v>0</v>
      </c>
      <c r="AV106" s="87">
        <v>0</v>
      </c>
      <c r="AW106" s="87">
        <v>0</v>
      </c>
      <c r="AX106" s="87"/>
      <c r="AY106" s="88">
        <f t="shared" si="35"/>
        <v>22.04</v>
      </c>
      <c r="AZ106" s="88">
        <v>0</v>
      </c>
      <c r="BA106" s="88">
        <v>2400</v>
      </c>
      <c r="BB106" s="89" t="s">
        <v>249</v>
      </c>
    </row>
    <row r="107" spans="1:54" x14ac:dyDescent="0.3">
      <c r="A107" s="50"/>
      <c r="B107" s="50"/>
      <c r="C107" s="50"/>
      <c r="D107" s="50"/>
      <c r="E107" s="50"/>
      <c r="F107" s="50"/>
      <c r="G107" s="50" t="s">
        <v>148</v>
      </c>
      <c r="H107" s="51">
        <v>115</v>
      </c>
      <c r="I107" s="51">
        <v>115</v>
      </c>
      <c r="J107" s="51">
        <v>230</v>
      </c>
      <c r="K107" s="51">
        <v>0</v>
      </c>
      <c r="L107" s="51">
        <v>115</v>
      </c>
      <c r="M107" s="51">
        <v>115</v>
      </c>
      <c r="N107" s="51">
        <v>115</v>
      </c>
      <c r="O107" s="51">
        <v>115</v>
      </c>
      <c r="P107" s="51">
        <v>115</v>
      </c>
      <c r="Q107" s="51">
        <v>115</v>
      </c>
      <c r="R107" s="51">
        <v>115</v>
      </c>
      <c r="S107" s="51">
        <v>115</v>
      </c>
      <c r="T107" s="51"/>
      <c r="U107" s="51">
        <f t="shared" si="34"/>
        <v>1380</v>
      </c>
      <c r="V107" s="67">
        <v>1400</v>
      </c>
      <c r="W107" s="67">
        <v>1400</v>
      </c>
      <c r="AB107" s="86"/>
      <c r="AC107" s="86"/>
      <c r="AD107" s="86"/>
      <c r="AE107" s="86"/>
      <c r="AF107" s="86"/>
      <c r="AG107" s="86" t="s">
        <v>148</v>
      </c>
      <c r="AH107" s="87"/>
      <c r="AI107" s="87"/>
      <c r="AJ107" s="87"/>
      <c r="AK107" s="87"/>
      <c r="AL107" s="87">
        <v>116</v>
      </c>
      <c r="AM107" s="87">
        <v>116</v>
      </c>
      <c r="AN107" s="87">
        <v>241</v>
      </c>
      <c r="AO107" s="87">
        <v>0</v>
      </c>
      <c r="AP107" s="87">
        <v>115</v>
      </c>
      <c r="AQ107" s="87">
        <v>115</v>
      </c>
      <c r="AR107" s="87">
        <v>115</v>
      </c>
      <c r="AS107" s="87">
        <v>230</v>
      </c>
      <c r="AT107" s="87">
        <v>0</v>
      </c>
      <c r="AU107" s="87">
        <v>115</v>
      </c>
      <c r="AV107" s="87">
        <v>116</v>
      </c>
      <c r="AW107" s="87">
        <v>116</v>
      </c>
      <c r="AX107" s="87"/>
      <c r="AY107" s="88">
        <f t="shared" si="35"/>
        <v>1395</v>
      </c>
      <c r="AZ107" s="88">
        <v>1500</v>
      </c>
      <c r="BA107" s="88">
        <v>1400</v>
      </c>
      <c r="BB107" s="89"/>
    </row>
    <row r="108" spans="1:54" x14ac:dyDescent="0.3">
      <c r="A108" s="50"/>
      <c r="B108" s="50"/>
      <c r="C108" s="50"/>
      <c r="D108" s="50"/>
      <c r="E108" s="50"/>
      <c r="F108" s="50"/>
      <c r="G108" s="50" t="s">
        <v>149</v>
      </c>
      <c r="H108" s="51">
        <v>287.19</v>
      </c>
      <c r="I108" s="51">
        <v>277.58999999999997</v>
      </c>
      <c r="J108" s="51">
        <v>296</v>
      </c>
      <c r="K108" s="51">
        <v>391.54</v>
      </c>
      <c r="L108" s="51">
        <v>266.11</v>
      </c>
      <c r="M108" s="51">
        <v>294.98</v>
      </c>
      <c r="N108" s="51">
        <v>436.26</v>
      </c>
      <c r="O108" s="51">
        <v>30.18</v>
      </c>
      <c r="P108" s="51">
        <v>26.68</v>
      </c>
      <c r="Q108" s="51">
        <v>428.65</v>
      </c>
      <c r="R108" s="51">
        <v>287.55</v>
      </c>
      <c r="S108" s="51">
        <v>270.11</v>
      </c>
      <c r="T108" s="51"/>
      <c r="U108" s="51">
        <f t="shared" si="34"/>
        <v>3292.84</v>
      </c>
      <c r="V108" s="67">
        <v>4100</v>
      </c>
      <c r="W108" s="67">
        <v>4100</v>
      </c>
      <c r="AB108" s="86"/>
      <c r="AC108" s="86"/>
      <c r="AD108" s="86"/>
      <c r="AE108" s="86"/>
      <c r="AF108" s="86"/>
      <c r="AG108" s="86" t="s">
        <v>149</v>
      </c>
      <c r="AH108" s="87"/>
      <c r="AI108" s="87"/>
      <c r="AJ108" s="87"/>
      <c r="AK108" s="87"/>
      <c r="AL108" s="87">
        <v>278.04000000000002</v>
      </c>
      <c r="AM108" s="87">
        <v>270.92</v>
      </c>
      <c r="AN108" s="87">
        <v>259.54000000000002</v>
      </c>
      <c r="AO108" s="87">
        <v>435.49</v>
      </c>
      <c r="AP108" s="87">
        <v>221.98</v>
      </c>
      <c r="AQ108" s="87">
        <v>279.07</v>
      </c>
      <c r="AR108" s="87">
        <v>425.18</v>
      </c>
      <c r="AS108" s="87">
        <v>276.11</v>
      </c>
      <c r="AT108" s="87">
        <v>276.11</v>
      </c>
      <c r="AU108" s="87">
        <v>463.17</v>
      </c>
      <c r="AV108" s="87">
        <v>370.92</v>
      </c>
      <c r="AW108" s="87">
        <v>400.19</v>
      </c>
      <c r="AX108" s="87"/>
      <c r="AY108" s="88">
        <f t="shared" si="35"/>
        <v>3956.72</v>
      </c>
      <c r="AZ108" s="88">
        <v>4200</v>
      </c>
      <c r="BA108" s="88">
        <v>4100</v>
      </c>
      <c r="BB108" s="89"/>
    </row>
    <row r="109" spans="1:54" x14ac:dyDescent="0.3">
      <c r="A109" s="50"/>
      <c r="B109" s="50"/>
      <c r="C109" s="50"/>
      <c r="D109" s="50"/>
      <c r="E109" s="50"/>
      <c r="F109" s="50"/>
      <c r="G109" s="50" t="s">
        <v>150</v>
      </c>
      <c r="H109" s="51">
        <v>0</v>
      </c>
      <c r="I109" s="51">
        <v>0</v>
      </c>
      <c r="J109" s="51">
        <v>0</v>
      </c>
      <c r="K109" s="51">
        <v>9900</v>
      </c>
      <c r="L109" s="51">
        <v>0</v>
      </c>
      <c r="M109" s="51">
        <v>0</v>
      </c>
      <c r="N109" s="51">
        <v>1100</v>
      </c>
      <c r="O109" s="51">
        <v>0</v>
      </c>
      <c r="P109" s="51">
        <v>0</v>
      </c>
      <c r="Q109" s="51">
        <v>0</v>
      </c>
      <c r="R109" s="51">
        <v>0</v>
      </c>
      <c r="S109" s="51">
        <v>0</v>
      </c>
      <c r="T109" s="51"/>
      <c r="U109" s="51">
        <f t="shared" si="34"/>
        <v>11000</v>
      </c>
      <c r="V109" s="67">
        <v>11000</v>
      </c>
      <c r="W109" s="67">
        <v>10500</v>
      </c>
      <c r="AB109" s="86"/>
      <c r="AC109" s="86"/>
      <c r="AD109" s="86"/>
      <c r="AE109" s="86"/>
      <c r="AF109" s="86"/>
      <c r="AG109" s="86" t="s">
        <v>150</v>
      </c>
      <c r="AH109" s="87"/>
      <c r="AI109" s="87"/>
      <c r="AJ109" s="87"/>
      <c r="AK109" s="87"/>
      <c r="AL109" s="87">
        <v>0</v>
      </c>
      <c r="AM109" s="87">
        <v>8240</v>
      </c>
      <c r="AN109" s="87">
        <v>2060</v>
      </c>
      <c r="AO109" s="87">
        <v>0</v>
      </c>
      <c r="AP109" s="87">
        <v>0</v>
      </c>
      <c r="AQ109" s="87">
        <v>0</v>
      </c>
      <c r="AR109" s="87">
        <v>0</v>
      </c>
      <c r="AS109" s="87">
        <v>0</v>
      </c>
      <c r="AT109" s="87">
        <v>0</v>
      </c>
      <c r="AU109" s="87">
        <v>0</v>
      </c>
      <c r="AV109" s="87">
        <v>0</v>
      </c>
      <c r="AW109" s="87">
        <v>0</v>
      </c>
      <c r="AX109" s="87"/>
      <c r="AY109" s="88">
        <f t="shared" si="35"/>
        <v>10300</v>
      </c>
      <c r="AZ109" s="88">
        <v>12000</v>
      </c>
      <c r="BA109" s="88">
        <v>11000</v>
      </c>
      <c r="BB109" s="89"/>
    </row>
    <row r="110" spans="1:54" x14ac:dyDescent="0.3">
      <c r="A110" s="50"/>
      <c r="B110" s="50"/>
      <c r="C110" s="50"/>
      <c r="D110" s="50"/>
      <c r="E110" s="50"/>
      <c r="F110" s="50"/>
      <c r="G110" s="50" t="s">
        <v>151</v>
      </c>
      <c r="H110" s="51">
        <v>770</v>
      </c>
      <c r="I110" s="51">
        <v>1017.5</v>
      </c>
      <c r="J110" s="51">
        <v>1540</v>
      </c>
      <c r="K110" s="51">
        <v>0</v>
      </c>
      <c r="L110" s="51">
        <v>1045</v>
      </c>
      <c r="M110" s="51">
        <v>247.5</v>
      </c>
      <c r="N110" s="51">
        <v>805</v>
      </c>
      <c r="O110" s="51">
        <v>488.75</v>
      </c>
      <c r="P110" s="51">
        <v>690</v>
      </c>
      <c r="Q110" s="51">
        <v>718.75</v>
      </c>
      <c r="R110" s="51">
        <v>575</v>
      </c>
      <c r="S110" s="51">
        <f>115*8</f>
        <v>920</v>
      </c>
      <c r="T110" s="51"/>
      <c r="U110" s="51">
        <f t="shared" si="34"/>
        <v>8817.5</v>
      </c>
      <c r="V110" s="67">
        <v>9500</v>
      </c>
      <c r="W110" s="67">
        <v>9500</v>
      </c>
      <c r="AB110" s="86"/>
      <c r="AC110" s="86"/>
      <c r="AD110" s="86"/>
      <c r="AE110" s="86"/>
      <c r="AF110" s="86"/>
      <c r="AG110" s="86" t="s">
        <v>151</v>
      </c>
      <c r="AH110" s="87"/>
      <c r="AI110" s="87"/>
      <c r="AJ110" s="87"/>
      <c r="AK110" s="87"/>
      <c r="AL110" s="87">
        <v>1023.75</v>
      </c>
      <c r="AM110" s="87">
        <v>1102.5</v>
      </c>
      <c r="AN110" s="87">
        <v>1155</v>
      </c>
      <c r="AO110" s="87">
        <v>551.25</v>
      </c>
      <c r="AP110" s="87">
        <v>813.75</v>
      </c>
      <c r="AQ110" s="87">
        <v>341.25</v>
      </c>
      <c r="AR110" s="87">
        <v>446.25</v>
      </c>
      <c r="AS110" s="87">
        <v>632.5</v>
      </c>
      <c r="AT110" s="87">
        <v>797.5</v>
      </c>
      <c r="AU110" s="87">
        <v>972.9</v>
      </c>
      <c r="AV110" s="87">
        <v>813.75</v>
      </c>
      <c r="AW110" s="87">
        <v>971.25</v>
      </c>
      <c r="AX110" s="87"/>
      <c r="AY110" s="88">
        <f t="shared" si="35"/>
        <v>9621.65</v>
      </c>
      <c r="AZ110" s="88">
        <v>8500</v>
      </c>
      <c r="BA110" s="88">
        <v>9500</v>
      </c>
      <c r="BB110" s="89" t="s">
        <v>248</v>
      </c>
    </row>
    <row r="111" spans="1:54" x14ac:dyDescent="0.3">
      <c r="A111" s="50"/>
      <c r="B111" s="50"/>
      <c r="C111" s="50"/>
      <c r="D111" s="50"/>
      <c r="E111" s="50"/>
      <c r="F111" s="50"/>
      <c r="G111" s="50" t="s">
        <v>200</v>
      </c>
      <c r="H111" s="51">
        <v>0</v>
      </c>
      <c r="I111" s="51">
        <v>0</v>
      </c>
      <c r="J111" s="51">
        <v>0</v>
      </c>
      <c r="K111" s="51">
        <v>0</v>
      </c>
      <c r="L111" s="51">
        <v>0</v>
      </c>
      <c r="M111" s="51">
        <v>0</v>
      </c>
      <c r="N111" s="51">
        <v>0</v>
      </c>
      <c r="O111" s="51">
        <v>0</v>
      </c>
      <c r="P111" s="51">
        <v>0</v>
      </c>
      <c r="Q111" s="51">
        <v>0</v>
      </c>
      <c r="R111" s="51">
        <v>0</v>
      </c>
      <c r="S111" s="51">
        <v>0</v>
      </c>
      <c r="T111" s="51"/>
      <c r="U111" s="51">
        <v>0</v>
      </c>
      <c r="V111" s="67">
        <v>9000</v>
      </c>
      <c r="W111" s="67">
        <v>9000</v>
      </c>
      <c r="AB111" s="86"/>
      <c r="AC111" s="86"/>
      <c r="AD111" s="86"/>
      <c r="AE111" s="86"/>
      <c r="AF111" s="86"/>
      <c r="AG111" s="86" t="s">
        <v>200</v>
      </c>
      <c r="AH111" s="87"/>
      <c r="AI111" s="87"/>
      <c r="AJ111" s="87"/>
      <c r="AK111" s="87"/>
      <c r="AL111" s="87">
        <v>0</v>
      </c>
      <c r="AM111" s="87">
        <v>0</v>
      </c>
      <c r="AN111" s="87">
        <v>0</v>
      </c>
      <c r="AO111" s="87">
        <v>0</v>
      </c>
      <c r="AP111" s="87">
        <v>0</v>
      </c>
      <c r="AQ111" s="87">
        <v>0</v>
      </c>
      <c r="AR111" s="87">
        <v>0</v>
      </c>
      <c r="AS111" s="87">
        <v>0</v>
      </c>
      <c r="AT111" s="87">
        <v>0</v>
      </c>
      <c r="AU111" s="87">
        <v>0</v>
      </c>
      <c r="AV111" s="87">
        <v>0</v>
      </c>
      <c r="AW111" s="87">
        <v>0</v>
      </c>
      <c r="AX111" s="87"/>
      <c r="AY111" s="88">
        <f t="shared" si="35"/>
        <v>0</v>
      </c>
      <c r="AZ111" s="88">
        <v>9000</v>
      </c>
      <c r="BA111" s="88">
        <v>9000</v>
      </c>
      <c r="BB111" s="89"/>
    </row>
    <row r="112" spans="1:54" x14ac:dyDescent="0.3">
      <c r="A112" s="50"/>
      <c r="B112" s="50"/>
      <c r="C112" s="50"/>
      <c r="D112" s="50"/>
      <c r="E112" s="50"/>
      <c r="F112" s="50"/>
      <c r="G112" s="50" t="s">
        <v>233</v>
      </c>
      <c r="H112" s="51">
        <v>0</v>
      </c>
      <c r="I112" s="51">
        <v>0</v>
      </c>
      <c r="J112" s="51">
        <v>0</v>
      </c>
      <c r="K112" s="51">
        <v>0</v>
      </c>
      <c r="L112" s="51">
        <v>375</v>
      </c>
      <c r="M112" s="51">
        <v>0</v>
      </c>
      <c r="N112" s="51">
        <v>0</v>
      </c>
      <c r="O112" s="51">
        <v>0</v>
      </c>
      <c r="P112" s="51">
        <v>0</v>
      </c>
      <c r="Q112" s="51">
        <v>0</v>
      </c>
      <c r="R112" s="51">
        <v>0</v>
      </c>
      <c r="S112" s="51">
        <v>0</v>
      </c>
      <c r="T112" s="51"/>
      <c r="U112" s="51">
        <f t="shared" si="34"/>
        <v>375</v>
      </c>
      <c r="V112" s="67">
        <v>400</v>
      </c>
      <c r="W112" s="67">
        <v>400</v>
      </c>
      <c r="AB112" s="86"/>
      <c r="AC112" s="86"/>
      <c r="AD112" s="86"/>
      <c r="AE112" s="86"/>
      <c r="AF112" s="86"/>
      <c r="AG112" s="86" t="s">
        <v>233</v>
      </c>
      <c r="AH112" s="87"/>
      <c r="AI112" s="87"/>
      <c r="AJ112" s="87"/>
      <c r="AK112" s="87"/>
      <c r="AL112" s="87">
        <v>0</v>
      </c>
      <c r="AM112" s="87">
        <v>0</v>
      </c>
      <c r="AN112" s="87">
        <v>0</v>
      </c>
      <c r="AO112" s="87">
        <v>0</v>
      </c>
      <c r="AP112" s="87">
        <v>0</v>
      </c>
      <c r="AQ112" s="87">
        <v>0</v>
      </c>
      <c r="AR112" s="87">
        <v>375</v>
      </c>
      <c r="AS112" s="87">
        <v>0</v>
      </c>
      <c r="AT112" s="87">
        <v>0</v>
      </c>
      <c r="AU112" s="87">
        <v>0</v>
      </c>
      <c r="AV112" s="87">
        <v>0</v>
      </c>
      <c r="AW112" s="87">
        <v>0</v>
      </c>
      <c r="AX112" s="87"/>
      <c r="AY112" s="88">
        <f t="shared" si="35"/>
        <v>375</v>
      </c>
      <c r="AZ112" s="88">
        <v>200</v>
      </c>
      <c r="BA112" s="88">
        <v>400</v>
      </c>
      <c r="BB112" s="89" t="s">
        <v>250</v>
      </c>
    </row>
    <row r="113" spans="1:54" x14ac:dyDescent="0.3">
      <c r="A113" s="50"/>
      <c r="B113" s="50"/>
      <c r="C113" s="50"/>
      <c r="D113" s="50"/>
      <c r="E113" s="50"/>
      <c r="F113" s="50"/>
      <c r="G113" s="50" t="s">
        <v>152</v>
      </c>
      <c r="H113" s="51">
        <v>435</v>
      </c>
      <c r="I113" s="51">
        <v>0</v>
      </c>
      <c r="J113" s="51">
        <v>1275</v>
      </c>
      <c r="K113" s="51">
        <v>315</v>
      </c>
      <c r="L113" s="51">
        <v>420</v>
      </c>
      <c r="M113" s="51">
        <v>300</v>
      </c>
      <c r="N113" s="51">
        <v>360</v>
      </c>
      <c r="O113" s="51">
        <v>435</v>
      </c>
      <c r="P113" s="51">
        <v>0</v>
      </c>
      <c r="Q113" s="51">
        <v>525</v>
      </c>
      <c r="R113" s="51">
        <v>0</v>
      </c>
      <c r="S113" s="51">
        <v>1350</v>
      </c>
      <c r="T113" s="51"/>
      <c r="U113" s="51">
        <f t="shared" si="34"/>
        <v>5415</v>
      </c>
      <c r="V113" s="67">
        <v>30000</v>
      </c>
      <c r="W113" s="67">
        <v>30000</v>
      </c>
      <c r="AB113" s="86"/>
      <c r="AC113" s="86"/>
      <c r="AD113" s="86"/>
      <c r="AE113" s="86"/>
      <c r="AF113" s="86"/>
      <c r="AG113" s="86" t="s">
        <v>152</v>
      </c>
      <c r="AH113" s="87"/>
      <c r="AI113" s="87"/>
      <c r="AJ113" s="87"/>
      <c r="AK113" s="87"/>
      <c r="AL113" s="87">
        <v>540</v>
      </c>
      <c r="AM113" s="87">
        <v>60</v>
      </c>
      <c r="AN113" s="87">
        <v>0</v>
      </c>
      <c r="AO113" s="87">
        <v>0</v>
      </c>
      <c r="AP113" s="87">
        <v>650</v>
      </c>
      <c r="AQ113" s="87">
        <v>1360</v>
      </c>
      <c r="AR113" s="87">
        <v>170</v>
      </c>
      <c r="AS113" s="87">
        <v>60</v>
      </c>
      <c r="AT113" s="87">
        <v>1700</v>
      </c>
      <c r="AU113" s="87">
        <v>0</v>
      </c>
      <c r="AV113" s="87">
        <v>1245</v>
      </c>
      <c r="AW113" s="87">
        <v>1215</v>
      </c>
      <c r="AX113" s="87"/>
      <c r="AY113" s="88">
        <f t="shared" si="35"/>
        <v>7000</v>
      </c>
      <c r="AZ113" s="88">
        <v>30000</v>
      </c>
      <c r="BA113" s="88">
        <v>30000</v>
      </c>
      <c r="BB113" s="89" t="s">
        <v>251</v>
      </c>
    </row>
    <row r="114" spans="1:54" x14ac:dyDescent="0.3">
      <c r="A114" s="50"/>
      <c r="B114" s="50"/>
      <c r="C114" s="50"/>
      <c r="D114" s="50"/>
      <c r="E114" s="50"/>
      <c r="F114" s="50"/>
      <c r="G114" s="50" t="s">
        <v>153</v>
      </c>
      <c r="H114" s="51">
        <v>445.33</v>
      </c>
      <c r="I114" s="51">
        <v>445.33</v>
      </c>
      <c r="J114" s="51">
        <v>445.33</v>
      </c>
      <c r="K114" s="51">
        <v>365.4</v>
      </c>
      <c r="L114" s="51">
        <v>365.4</v>
      </c>
      <c r="M114" s="51">
        <v>365.4</v>
      </c>
      <c r="N114" s="51">
        <v>365.4</v>
      </c>
      <c r="O114" s="51">
        <v>445.33</v>
      </c>
      <c r="P114" s="51">
        <v>445.33</v>
      </c>
      <c r="Q114" s="51">
        <v>445.33</v>
      </c>
      <c r="R114" s="51">
        <v>445.33</v>
      </c>
      <c r="S114" s="51">
        <v>445.33</v>
      </c>
      <c r="T114" s="51"/>
      <c r="U114" s="51">
        <f t="shared" si="34"/>
        <v>5024.24</v>
      </c>
      <c r="V114" s="67">
        <v>5400</v>
      </c>
      <c r="W114" s="115">
        <v>5400</v>
      </c>
      <c r="AB114" s="86"/>
      <c r="AC114" s="86"/>
      <c r="AD114" s="86"/>
      <c r="AE114" s="86"/>
      <c r="AF114" s="86"/>
      <c r="AG114" s="86" t="s">
        <v>153</v>
      </c>
      <c r="AH114" s="87"/>
      <c r="AI114" s="87"/>
      <c r="AJ114" s="87"/>
      <c r="AK114" s="87"/>
      <c r="AL114" s="87">
        <v>445.33</v>
      </c>
      <c r="AM114" s="87">
        <v>445.33</v>
      </c>
      <c r="AN114" s="87">
        <v>445.33</v>
      </c>
      <c r="AO114" s="87">
        <v>365.4</v>
      </c>
      <c r="AP114" s="87">
        <v>365.4</v>
      </c>
      <c r="AQ114" s="87">
        <v>365.4</v>
      </c>
      <c r="AR114" s="87">
        <v>445.33</v>
      </c>
      <c r="AS114" s="87">
        <v>445.33</v>
      </c>
      <c r="AT114" s="87">
        <v>445.33</v>
      </c>
      <c r="AU114" s="87">
        <v>445.33</v>
      </c>
      <c r="AV114" s="87">
        <v>445.33</v>
      </c>
      <c r="AW114" s="87">
        <v>445.33</v>
      </c>
      <c r="AX114" s="87"/>
      <c r="AY114" s="88">
        <f t="shared" si="35"/>
        <v>5104.17</v>
      </c>
      <c r="AZ114" s="88">
        <v>5400</v>
      </c>
      <c r="BA114" s="88">
        <v>5400</v>
      </c>
      <c r="BB114" s="89"/>
    </row>
    <row r="115" spans="1:54" x14ac:dyDescent="0.3">
      <c r="A115" s="50"/>
      <c r="B115" s="50"/>
      <c r="C115" s="50"/>
      <c r="D115" s="50"/>
      <c r="E115" s="50"/>
      <c r="F115" s="50"/>
      <c r="G115" s="50" t="s">
        <v>154</v>
      </c>
      <c r="H115" s="51">
        <v>0</v>
      </c>
      <c r="I115" s="51">
        <v>0</v>
      </c>
      <c r="J115" s="51">
        <v>0</v>
      </c>
      <c r="K115" s="51">
        <v>0</v>
      </c>
      <c r="L115" s="51">
        <v>0</v>
      </c>
      <c r="M115" s="51">
        <v>266</v>
      </c>
      <c r="N115" s="51">
        <v>0</v>
      </c>
      <c r="O115" s="51">
        <v>0</v>
      </c>
      <c r="P115" s="51">
        <v>28</v>
      </c>
      <c r="Q115" s="51">
        <v>0</v>
      </c>
      <c r="R115" s="51">
        <v>0</v>
      </c>
      <c r="S115" s="51">
        <v>0</v>
      </c>
      <c r="T115" s="51"/>
      <c r="U115" s="51">
        <f t="shared" si="34"/>
        <v>294</v>
      </c>
      <c r="V115" s="67">
        <v>1800</v>
      </c>
      <c r="W115" s="67">
        <v>1800</v>
      </c>
      <c r="AB115" s="86"/>
      <c r="AC115" s="86"/>
      <c r="AD115" s="86"/>
      <c r="AE115" s="86"/>
      <c r="AF115" s="86"/>
      <c r="AG115" s="86" t="s">
        <v>154</v>
      </c>
      <c r="AH115" s="87"/>
      <c r="AI115" s="87"/>
      <c r="AJ115" s="87"/>
      <c r="AK115" s="87"/>
      <c r="AL115" s="87">
        <v>0</v>
      </c>
      <c r="AM115" s="87">
        <v>0</v>
      </c>
      <c r="AN115" s="87">
        <v>384</v>
      </c>
      <c r="AO115" s="87">
        <v>0</v>
      </c>
      <c r="AP115" s="87">
        <v>469.18</v>
      </c>
      <c r="AQ115" s="87">
        <v>103.23</v>
      </c>
      <c r="AR115" s="87">
        <v>0</v>
      </c>
      <c r="AS115" s="87">
        <v>0</v>
      </c>
      <c r="AT115" s="87">
        <v>0</v>
      </c>
      <c r="AU115" s="87">
        <v>0</v>
      </c>
      <c r="AV115" s="87">
        <v>0</v>
      </c>
      <c r="AW115" s="87">
        <v>0</v>
      </c>
      <c r="AX115" s="87"/>
      <c r="AY115" s="88">
        <f t="shared" si="35"/>
        <v>956.41</v>
      </c>
      <c r="AZ115" s="88">
        <v>1800</v>
      </c>
      <c r="BA115" s="88">
        <v>1800</v>
      </c>
      <c r="BB115" s="89"/>
    </row>
    <row r="116" spans="1:54" x14ac:dyDescent="0.3">
      <c r="A116" s="50"/>
      <c r="B116" s="50"/>
      <c r="C116" s="50"/>
      <c r="D116" s="50"/>
      <c r="E116" s="50"/>
      <c r="F116" s="50"/>
      <c r="G116" s="50" t="s">
        <v>238</v>
      </c>
      <c r="H116" s="51">
        <v>0</v>
      </c>
      <c r="I116" s="51">
        <v>0</v>
      </c>
      <c r="J116" s="51">
        <v>0</v>
      </c>
      <c r="K116" s="51">
        <v>0</v>
      </c>
      <c r="L116" s="51">
        <v>0</v>
      </c>
      <c r="M116" s="51">
        <v>0</v>
      </c>
      <c r="N116" s="51">
        <v>0</v>
      </c>
      <c r="O116" s="51">
        <v>0</v>
      </c>
      <c r="P116" s="51">
        <v>0</v>
      </c>
      <c r="Q116" s="51">
        <v>0</v>
      </c>
      <c r="R116" s="51">
        <v>0</v>
      </c>
      <c r="S116" s="51">
        <v>0</v>
      </c>
      <c r="T116" s="51"/>
      <c r="U116" s="51">
        <v>0</v>
      </c>
      <c r="V116" s="67">
        <v>300</v>
      </c>
      <c r="W116" s="67">
        <v>300</v>
      </c>
      <c r="AB116" s="86"/>
      <c r="AC116" s="86"/>
      <c r="AD116" s="86"/>
      <c r="AE116" s="86"/>
      <c r="AF116" s="86"/>
      <c r="AG116" s="86" t="s">
        <v>238</v>
      </c>
      <c r="AH116" s="87"/>
      <c r="AI116" s="87"/>
      <c r="AJ116" s="87"/>
      <c r="AK116" s="87"/>
      <c r="AL116" s="87">
        <v>0</v>
      </c>
      <c r="AM116" s="87">
        <v>0</v>
      </c>
      <c r="AN116" s="87">
        <v>0</v>
      </c>
      <c r="AO116" s="87">
        <v>0</v>
      </c>
      <c r="AP116" s="87">
        <v>0</v>
      </c>
      <c r="AQ116" s="87">
        <v>0</v>
      </c>
      <c r="AR116" s="87">
        <v>0</v>
      </c>
      <c r="AS116" s="87">
        <v>0</v>
      </c>
      <c r="AT116" s="87">
        <v>0</v>
      </c>
      <c r="AU116" s="87">
        <v>0</v>
      </c>
      <c r="AV116" s="87">
        <v>0</v>
      </c>
      <c r="AW116" s="87">
        <v>0</v>
      </c>
      <c r="AX116" s="87"/>
      <c r="AY116" s="88">
        <f t="shared" si="35"/>
        <v>0</v>
      </c>
      <c r="AZ116" s="88">
        <v>250</v>
      </c>
      <c r="BA116" s="88">
        <v>300</v>
      </c>
      <c r="BB116" s="89"/>
    </row>
    <row r="117" spans="1:54" x14ac:dyDescent="0.3">
      <c r="A117" s="50"/>
      <c r="B117" s="50"/>
      <c r="C117" s="50"/>
      <c r="D117" s="50"/>
      <c r="E117" s="50"/>
      <c r="F117" s="50"/>
      <c r="G117" s="50" t="s">
        <v>155</v>
      </c>
      <c r="H117" s="51">
        <v>0</v>
      </c>
      <c r="I117" s="51">
        <v>365</v>
      </c>
      <c r="J117" s="51">
        <v>0</v>
      </c>
      <c r="K117" s="51">
        <v>0</v>
      </c>
      <c r="L117" s="51">
        <v>0</v>
      </c>
      <c r="M117" s="51">
        <v>0</v>
      </c>
      <c r="N117" s="51">
        <v>219</v>
      </c>
      <c r="O117" s="51">
        <v>0</v>
      </c>
      <c r="P117" s="51">
        <v>0</v>
      </c>
      <c r="Q117" s="51">
        <v>0</v>
      </c>
      <c r="R117" s="51">
        <v>0</v>
      </c>
      <c r="S117" s="51">
        <v>0</v>
      </c>
      <c r="T117" s="51"/>
      <c r="U117" s="51">
        <f t="shared" si="34"/>
        <v>584</v>
      </c>
      <c r="V117" s="67">
        <v>2500</v>
      </c>
      <c r="W117" s="67">
        <v>2500</v>
      </c>
      <c r="AB117" s="86"/>
      <c r="AC117" s="86"/>
      <c r="AD117" s="86"/>
      <c r="AE117" s="86"/>
      <c r="AF117" s="86"/>
      <c r="AG117" s="86" t="s">
        <v>155</v>
      </c>
      <c r="AH117" s="87"/>
      <c r="AI117" s="87"/>
      <c r="AJ117" s="87"/>
      <c r="AK117" s="87"/>
      <c r="AL117" s="87">
        <v>0</v>
      </c>
      <c r="AM117" s="87">
        <v>0</v>
      </c>
      <c r="AN117" s="87">
        <v>0</v>
      </c>
      <c r="AO117" s="87">
        <v>0</v>
      </c>
      <c r="AP117" s="87">
        <v>0</v>
      </c>
      <c r="AQ117" s="87">
        <v>0</v>
      </c>
      <c r="AR117" s="87">
        <v>0</v>
      </c>
      <c r="AS117" s="87">
        <v>0</v>
      </c>
      <c r="AT117" s="87">
        <v>0</v>
      </c>
      <c r="AU117" s="87">
        <v>0</v>
      </c>
      <c r="AV117" s="87">
        <v>63</v>
      </c>
      <c r="AW117" s="87">
        <v>0</v>
      </c>
      <c r="AX117" s="87"/>
      <c r="AY117" s="88">
        <f t="shared" si="35"/>
        <v>63</v>
      </c>
      <c r="AZ117" s="88">
        <v>2500</v>
      </c>
      <c r="BA117" s="88">
        <v>2500</v>
      </c>
      <c r="BB117" s="89"/>
    </row>
    <row r="118" spans="1:54" x14ac:dyDescent="0.3">
      <c r="A118" s="50"/>
      <c r="B118" s="50"/>
      <c r="C118" s="50"/>
      <c r="D118" s="50"/>
      <c r="E118" s="50"/>
      <c r="F118" s="50"/>
      <c r="G118" s="50" t="s">
        <v>156</v>
      </c>
      <c r="H118" s="51">
        <v>13.59</v>
      </c>
      <c r="I118" s="51">
        <v>1982.42</v>
      </c>
      <c r="J118" s="51">
        <v>1019.56</v>
      </c>
      <c r="K118" s="51">
        <v>0</v>
      </c>
      <c r="L118" s="51">
        <v>0</v>
      </c>
      <c r="M118" s="51">
        <v>0</v>
      </c>
      <c r="N118" s="51">
        <v>700</v>
      </c>
      <c r="O118" s="51">
        <v>0</v>
      </c>
      <c r="P118" s="51">
        <v>0</v>
      </c>
      <c r="Q118" s="51">
        <v>0</v>
      </c>
      <c r="R118" s="51">
        <v>0</v>
      </c>
      <c r="S118" s="51">
        <v>15</v>
      </c>
      <c r="T118" s="51"/>
      <c r="U118" s="51">
        <f t="shared" si="34"/>
        <v>3730.57</v>
      </c>
      <c r="V118" s="67">
        <v>30000</v>
      </c>
      <c r="W118" s="67">
        <v>30000</v>
      </c>
      <c r="AB118" s="86"/>
      <c r="AC118" s="86"/>
      <c r="AD118" s="86"/>
      <c r="AE118" s="86"/>
      <c r="AF118" s="86"/>
      <c r="AG118" s="86" t="s">
        <v>156</v>
      </c>
      <c r="AH118" s="87"/>
      <c r="AI118" s="87"/>
      <c r="AJ118" s="87"/>
      <c r="AK118" s="87"/>
      <c r="AL118" s="87">
        <v>0</v>
      </c>
      <c r="AM118" s="87">
        <v>378</v>
      </c>
      <c r="AN118" s="87">
        <v>425</v>
      </c>
      <c r="AO118" s="87">
        <v>0</v>
      </c>
      <c r="AP118" s="87">
        <v>100</v>
      </c>
      <c r="AQ118" s="87">
        <v>0</v>
      </c>
      <c r="AR118" s="87">
        <v>99</v>
      </c>
      <c r="AS118" s="87">
        <v>-100</v>
      </c>
      <c r="AT118" s="87">
        <v>0</v>
      </c>
      <c r="AU118" s="87">
        <v>0</v>
      </c>
      <c r="AV118" s="87">
        <v>0</v>
      </c>
      <c r="AW118" s="87">
        <v>0</v>
      </c>
      <c r="AX118" s="87"/>
      <c r="AY118" s="88">
        <f t="shared" si="35"/>
        <v>902</v>
      </c>
      <c r="AZ118" s="88">
        <v>30000</v>
      </c>
      <c r="BA118" s="88">
        <v>30000</v>
      </c>
      <c r="BB118" s="89" t="s">
        <v>251</v>
      </c>
    </row>
    <row r="119" spans="1:54" x14ac:dyDescent="0.3">
      <c r="A119" s="50"/>
      <c r="B119" s="50"/>
      <c r="C119" s="50"/>
      <c r="D119" s="50"/>
      <c r="E119" s="50"/>
      <c r="F119" s="50"/>
      <c r="G119" s="50" t="s">
        <v>157</v>
      </c>
      <c r="H119" s="51">
        <v>321.43</v>
      </c>
      <c r="I119" s="51">
        <v>48.7</v>
      </c>
      <c r="J119" s="51">
        <v>56.42</v>
      </c>
      <c r="K119" s="51">
        <v>42.97</v>
      </c>
      <c r="L119" s="51">
        <v>0</v>
      </c>
      <c r="M119" s="51">
        <v>141.88</v>
      </c>
      <c r="N119" s="51">
        <v>101.79</v>
      </c>
      <c r="O119" s="51">
        <v>0</v>
      </c>
      <c r="P119" s="51">
        <v>317.31</v>
      </c>
      <c r="Q119" s="51">
        <v>153.86000000000001</v>
      </c>
      <c r="R119" s="51">
        <v>0</v>
      </c>
      <c r="S119" s="51">
        <v>150</v>
      </c>
      <c r="T119" s="51"/>
      <c r="U119" s="51">
        <f t="shared" si="34"/>
        <v>1334.36</v>
      </c>
      <c r="V119" s="67">
        <v>2000</v>
      </c>
      <c r="W119" s="67">
        <v>2000</v>
      </c>
      <c r="AB119" s="86"/>
      <c r="AC119" s="86"/>
      <c r="AD119" s="86"/>
      <c r="AE119" s="86"/>
      <c r="AF119" s="86"/>
      <c r="AG119" s="86" t="s">
        <v>157</v>
      </c>
      <c r="AH119" s="87"/>
      <c r="AI119" s="87"/>
      <c r="AJ119" s="87"/>
      <c r="AK119" s="87"/>
      <c r="AL119" s="87">
        <v>0</v>
      </c>
      <c r="AM119" s="87">
        <v>75.34</v>
      </c>
      <c r="AN119" s="87">
        <v>66.03</v>
      </c>
      <c r="AO119" s="87">
        <v>100.89</v>
      </c>
      <c r="AP119" s="87">
        <v>0</v>
      </c>
      <c r="AQ119" s="87">
        <v>0</v>
      </c>
      <c r="AR119" s="87">
        <v>43.21</v>
      </c>
      <c r="AS119" s="87">
        <v>147.96</v>
      </c>
      <c r="AT119" s="87">
        <v>64.540000000000006</v>
      </c>
      <c r="AU119" s="87">
        <v>0</v>
      </c>
      <c r="AV119" s="87">
        <v>0</v>
      </c>
      <c r="AW119" s="87">
        <v>45.66</v>
      </c>
      <c r="AX119" s="87"/>
      <c r="AY119" s="88">
        <f t="shared" si="35"/>
        <v>543.63</v>
      </c>
      <c r="AZ119" s="88">
        <v>2000</v>
      </c>
      <c r="BA119" s="88">
        <v>2000</v>
      </c>
      <c r="BB119" s="89"/>
    </row>
    <row r="120" spans="1:54" x14ac:dyDescent="0.3">
      <c r="A120" s="50"/>
      <c r="B120" s="50"/>
      <c r="C120" s="50"/>
      <c r="D120" s="50"/>
      <c r="E120" s="50"/>
      <c r="F120" s="50"/>
      <c r="G120" s="50" t="s">
        <v>158</v>
      </c>
      <c r="H120" s="51">
        <v>0</v>
      </c>
      <c r="I120" s="51">
        <v>0</v>
      </c>
      <c r="J120" s="51">
        <v>0</v>
      </c>
      <c r="K120" s="51">
        <v>800</v>
      </c>
      <c r="L120" s="51">
        <v>0</v>
      </c>
      <c r="M120" s="51">
        <v>2292.25</v>
      </c>
      <c r="N120" s="51">
        <v>0</v>
      </c>
      <c r="O120" s="51">
        <v>0</v>
      </c>
      <c r="P120" s="51">
        <v>0</v>
      </c>
      <c r="Q120" s="51">
        <v>0</v>
      </c>
      <c r="R120" s="51">
        <v>0</v>
      </c>
      <c r="S120" s="51">
        <v>0</v>
      </c>
      <c r="T120" s="51"/>
      <c r="U120" s="51">
        <f t="shared" si="34"/>
        <v>3092.25</v>
      </c>
      <c r="V120" s="67">
        <v>5000</v>
      </c>
      <c r="W120" s="67">
        <v>5000</v>
      </c>
      <c r="AB120" s="86"/>
      <c r="AC120" s="86"/>
      <c r="AD120" s="86"/>
      <c r="AE120" s="86"/>
      <c r="AF120" s="86"/>
      <c r="AG120" s="86" t="s">
        <v>158</v>
      </c>
      <c r="AH120" s="87"/>
      <c r="AI120" s="87"/>
      <c r="AJ120" s="87"/>
      <c r="AK120" s="87"/>
      <c r="AL120" s="87">
        <v>0</v>
      </c>
      <c r="AM120" s="87">
        <v>0</v>
      </c>
      <c r="AN120" s="87">
        <v>0</v>
      </c>
      <c r="AO120" s="87">
        <v>0</v>
      </c>
      <c r="AP120" s="87">
        <v>0</v>
      </c>
      <c r="AQ120" s="87">
        <v>275.2</v>
      </c>
      <c r="AR120" s="87">
        <v>0</v>
      </c>
      <c r="AS120" s="87">
        <v>0</v>
      </c>
      <c r="AT120" s="87">
        <v>0</v>
      </c>
      <c r="AU120" s="87">
        <v>0</v>
      </c>
      <c r="AV120" s="87">
        <v>0</v>
      </c>
      <c r="AW120" s="87">
        <v>0</v>
      </c>
      <c r="AX120" s="87"/>
      <c r="AY120" s="88">
        <f t="shared" si="35"/>
        <v>275.2</v>
      </c>
      <c r="AZ120" s="88">
        <v>5000</v>
      </c>
      <c r="BA120" s="88">
        <v>5000</v>
      </c>
      <c r="BB120" s="89"/>
    </row>
    <row r="121" spans="1:54" x14ac:dyDescent="0.3">
      <c r="A121" s="50"/>
      <c r="B121" s="50"/>
      <c r="C121" s="50"/>
      <c r="D121" s="50"/>
      <c r="E121" s="50"/>
      <c r="F121" s="50"/>
      <c r="G121" s="50" t="s">
        <v>159</v>
      </c>
      <c r="H121" s="51">
        <v>0</v>
      </c>
      <c r="I121" s="51">
        <v>0.45</v>
      </c>
      <c r="J121" s="51">
        <v>0</v>
      </c>
      <c r="K121" s="51">
        <v>0</v>
      </c>
      <c r="L121" s="51">
        <v>0</v>
      </c>
      <c r="M121" s="51">
        <v>0</v>
      </c>
      <c r="N121" s="51">
        <v>0</v>
      </c>
      <c r="O121" s="51">
        <v>0</v>
      </c>
      <c r="P121" s="51">
        <v>0</v>
      </c>
      <c r="Q121" s="51">
        <v>0</v>
      </c>
      <c r="R121" s="51">
        <v>0</v>
      </c>
      <c r="S121" s="51">
        <v>0</v>
      </c>
      <c r="T121" s="51"/>
      <c r="U121" s="51">
        <f t="shared" si="34"/>
        <v>0.45</v>
      </c>
      <c r="V121" s="67">
        <v>2500</v>
      </c>
      <c r="W121" s="67">
        <v>2500</v>
      </c>
      <c r="X121" s="68" t="s">
        <v>313</v>
      </c>
      <c r="AB121" s="86"/>
      <c r="AC121" s="86"/>
      <c r="AD121" s="86"/>
      <c r="AE121" s="86"/>
      <c r="AF121" s="86"/>
      <c r="AG121" s="86" t="s">
        <v>159</v>
      </c>
      <c r="AH121" s="87"/>
      <c r="AI121" s="87"/>
      <c r="AJ121" s="87"/>
      <c r="AK121" s="87"/>
      <c r="AL121" s="87">
        <v>66.88</v>
      </c>
      <c r="AM121" s="87">
        <v>157.94</v>
      </c>
      <c r="AN121" s="87">
        <v>166.05</v>
      </c>
      <c r="AO121" s="87">
        <v>0</v>
      </c>
      <c r="AP121" s="87">
        <v>0</v>
      </c>
      <c r="AQ121" s="87">
        <v>0</v>
      </c>
      <c r="AR121" s="87">
        <v>0</v>
      </c>
      <c r="AS121" s="87">
        <v>0</v>
      </c>
      <c r="AT121" s="87">
        <v>248.76</v>
      </c>
      <c r="AU121" s="87">
        <v>0</v>
      </c>
      <c r="AV121" s="87">
        <v>127.06</v>
      </c>
      <c r="AW121" s="87">
        <v>76.099999999999994</v>
      </c>
      <c r="AX121" s="87"/>
      <c r="AY121" s="88">
        <f t="shared" si="35"/>
        <v>842.79</v>
      </c>
      <c r="AZ121" s="88">
        <v>2500</v>
      </c>
      <c r="BA121" s="88">
        <v>2500</v>
      </c>
      <c r="BB121" s="89"/>
    </row>
    <row r="122" spans="1:54" x14ac:dyDescent="0.3">
      <c r="A122" s="50"/>
      <c r="B122" s="50"/>
      <c r="C122" s="50"/>
      <c r="D122" s="50"/>
      <c r="E122" s="50"/>
      <c r="F122" s="50"/>
      <c r="G122" s="50" t="s">
        <v>160</v>
      </c>
      <c r="H122" s="51">
        <v>50</v>
      </c>
      <c r="I122" s="51">
        <v>100</v>
      </c>
      <c r="J122" s="51">
        <v>50</v>
      </c>
      <c r="K122" s="51">
        <v>50</v>
      </c>
      <c r="L122" s="51">
        <v>50</v>
      </c>
      <c r="M122" s="51">
        <v>50</v>
      </c>
      <c r="N122" s="51">
        <v>0</v>
      </c>
      <c r="O122" s="51">
        <v>50</v>
      </c>
      <c r="P122" s="51">
        <v>50</v>
      </c>
      <c r="Q122" s="51">
        <v>50</v>
      </c>
      <c r="R122" s="51">
        <v>50</v>
      </c>
      <c r="S122" s="51">
        <v>50</v>
      </c>
      <c r="T122" s="51"/>
      <c r="U122" s="51">
        <f t="shared" si="34"/>
        <v>600</v>
      </c>
      <c r="V122" s="67">
        <v>800</v>
      </c>
      <c r="W122" s="67">
        <v>800</v>
      </c>
      <c r="AB122" s="86"/>
      <c r="AC122" s="86"/>
      <c r="AD122" s="86"/>
      <c r="AE122" s="86"/>
      <c r="AF122" s="86"/>
      <c r="AG122" s="86" t="s">
        <v>160</v>
      </c>
      <c r="AH122" s="87"/>
      <c r="AI122" s="87"/>
      <c r="AJ122" s="87"/>
      <c r="AK122" s="87"/>
      <c r="AL122" s="87">
        <v>50</v>
      </c>
      <c r="AM122" s="87">
        <v>50</v>
      </c>
      <c r="AN122" s="87">
        <v>0</v>
      </c>
      <c r="AO122" s="87">
        <v>0</v>
      </c>
      <c r="AP122" s="87">
        <v>150</v>
      </c>
      <c r="AQ122" s="87">
        <v>100</v>
      </c>
      <c r="AR122" s="87">
        <v>50</v>
      </c>
      <c r="AS122" s="87">
        <v>0</v>
      </c>
      <c r="AT122" s="87">
        <v>0</v>
      </c>
      <c r="AU122" s="87">
        <v>50</v>
      </c>
      <c r="AV122" s="87">
        <v>50</v>
      </c>
      <c r="AW122" s="87">
        <v>50</v>
      </c>
      <c r="AX122" s="87"/>
      <c r="AY122" s="88">
        <f t="shared" si="35"/>
        <v>550</v>
      </c>
      <c r="AZ122" s="88">
        <v>800</v>
      </c>
      <c r="BA122" s="88">
        <v>800</v>
      </c>
      <c r="BB122" s="89"/>
    </row>
    <row r="123" spans="1:54" ht="15" thickBot="1" x14ac:dyDescent="0.35">
      <c r="A123" s="50"/>
      <c r="B123" s="50"/>
      <c r="C123" s="50"/>
      <c r="D123" s="50"/>
      <c r="E123" s="50"/>
      <c r="F123" s="50"/>
      <c r="G123" s="50" t="s">
        <v>161</v>
      </c>
      <c r="H123" s="52">
        <v>0</v>
      </c>
      <c r="I123" s="52">
        <v>183.75</v>
      </c>
      <c r="J123" s="52">
        <v>35.770000000000003</v>
      </c>
      <c r="K123" s="52">
        <v>103.47</v>
      </c>
      <c r="L123" s="52">
        <v>67.41</v>
      </c>
      <c r="M123" s="52">
        <v>128.22</v>
      </c>
      <c r="N123" s="52">
        <v>24.99</v>
      </c>
      <c r="O123" s="52">
        <v>83.79</v>
      </c>
      <c r="P123" s="52">
        <v>108.78</v>
      </c>
      <c r="Q123" s="52">
        <v>122.76</v>
      </c>
      <c r="R123" s="52">
        <v>0</v>
      </c>
      <c r="S123" s="52">
        <v>250</v>
      </c>
      <c r="T123" s="52"/>
      <c r="U123" s="52">
        <f t="shared" si="34"/>
        <v>1108.94</v>
      </c>
      <c r="V123" s="69">
        <v>1600</v>
      </c>
      <c r="W123" s="69">
        <v>1600</v>
      </c>
      <c r="AB123" s="86"/>
      <c r="AC123" s="86"/>
      <c r="AD123" s="86"/>
      <c r="AE123" s="86"/>
      <c r="AF123" s="86"/>
      <c r="AG123" s="86" t="s">
        <v>161</v>
      </c>
      <c r="AH123" s="90"/>
      <c r="AI123" s="90"/>
      <c r="AJ123" s="90"/>
      <c r="AK123" s="90"/>
      <c r="AL123" s="90">
        <v>135.31</v>
      </c>
      <c r="AM123" s="90">
        <v>0</v>
      </c>
      <c r="AN123" s="90">
        <v>93.71</v>
      </c>
      <c r="AO123" s="90">
        <v>72.73</v>
      </c>
      <c r="AP123" s="90">
        <v>304.77999999999997</v>
      </c>
      <c r="AQ123" s="90">
        <v>41.26</v>
      </c>
      <c r="AR123" s="90">
        <v>24.99</v>
      </c>
      <c r="AS123" s="90">
        <v>87.21</v>
      </c>
      <c r="AT123" s="90">
        <v>51.92</v>
      </c>
      <c r="AU123" s="90">
        <v>91.27</v>
      </c>
      <c r="AV123" s="90">
        <v>51.85</v>
      </c>
      <c r="AW123" s="90">
        <v>209.36</v>
      </c>
      <c r="AX123" s="90"/>
      <c r="AY123" s="91">
        <f t="shared" si="35"/>
        <v>1164.3900000000001</v>
      </c>
      <c r="AZ123" s="91">
        <v>1600</v>
      </c>
      <c r="BA123" s="91">
        <v>1600</v>
      </c>
      <c r="BB123" s="92"/>
    </row>
    <row r="124" spans="1:54" x14ac:dyDescent="0.3">
      <c r="A124" s="50"/>
      <c r="B124" s="50"/>
      <c r="C124" s="50"/>
      <c r="D124" s="50"/>
      <c r="E124" s="50"/>
      <c r="F124" s="50" t="s">
        <v>162</v>
      </c>
      <c r="G124" s="50"/>
      <c r="H124" s="51">
        <f t="shared" ref="H124:S124" si="36">ROUND(SUM(H92:H123),5)</f>
        <v>4493.18</v>
      </c>
      <c r="I124" s="51">
        <f t="shared" si="36"/>
        <v>7609.06</v>
      </c>
      <c r="J124" s="51">
        <f t="shared" si="36"/>
        <v>8331.69</v>
      </c>
      <c r="K124" s="51">
        <f t="shared" si="36"/>
        <v>17856.61</v>
      </c>
      <c r="L124" s="51">
        <f t="shared" si="36"/>
        <v>7525.12</v>
      </c>
      <c r="M124" s="51">
        <f t="shared" si="36"/>
        <v>7691.51</v>
      </c>
      <c r="N124" s="51">
        <f t="shared" si="36"/>
        <v>7263.43</v>
      </c>
      <c r="O124" s="51">
        <f t="shared" si="36"/>
        <v>4806.33</v>
      </c>
      <c r="P124" s="51">
        <f t="shared" si="36"/>
        <v>5613.65</v>
      </c>
      <c r="Q124" s="51">
        <f t="shared" si="36"/>
        <v>6859.47</v>
      </c>
      <c r="R124" s="51">
        <f t="shared" si="36"/>
        <v>3953.63</v>
      </c>
      <c r="S124" s="51">
        <f t="shared" si="36"/>
        <v>8530.7999999999993</v>
      </c>
      <c r="T124" s="51"/>
      <c r="U124" s="51">
        <f t="shared" si="34"/>
        <v>90534.48</v>
      </c>
      <c r="V124" s="51">
        <f>ROUND(SUM(V92:V123),5)</f>
        <v>172150</v>
      </c>
      <c r="W124" s="51">
        <f>ROUND(SUM(W92:W123),5)</f>
        <v>177950</v>
      </c>
      <c r="AB124" s="86"/>
      <c r="AC124" s="86"/>
      <c r="AD124" s="86"/>
      <c r="AE124" s="86"/>
      <c r="AF124" s="86" t="s">
        <v>162</v>
      </c>
      <c r="AG124" s="86"/>
      <c r="AH124" s="87"/>
      <c r="AI124" s="87"/>
      <c r="AJ124" s="87"/>
      <c r="AK124" s="87"/>
      <c r="AL124" s="87">
        <f t="shared" ref="AL124:AW124" si="37">ROUND(SUM(AL92:AL123),5)</f>
        <v>4929.17</v>
      </c>
      <c r="AM124" s="87">
        <f t="shared" si="37"/>
        <v>14242.92</v>
      </c>
      <c r="AN124" s="87">
        <f t="shared" si="37"/>
        <v>8152.11</v>
      </c>
      <c r="AO124" s="87">
        <f t="shared" si="37"/>
        <v>4982.71</v>
      </c>
      <c r="AP124" s="87">
        <f t="shared" si="37"/>
        <v>6733.26</v>
      </c>
      <c r="AQ124" s="87">
        <f t="shared" si="37"/>
        <v>7174.94</v>
      </c>
      <c r="AR124" s="87">
        <f t="shared" si="37"/>
        <v>5153.53</v>
      </c>
      <c r="AS124" s="87">
        <f t="shared" si="37"/>
        <v>4437.3500000000004</v>
      </c>
      <c r="AT124" s="87">
        <f t="shared" si="37"/>
        <v>6705.44</v>
      </c>
      <c r="AU124" s="87">
        <f t="shared" si="37"/>
        <v>6301.27</v>
      </c>
      <c r="AV124" s="87">
        <f t="shared" si="37"/>
        <v>6681.79</v>
      </c>
      <c r="AW124" s="87">
        <f t="shared" si="37"/>
        <v>8959.83</v>
      </c>
      <c r="AX124" s="87"/>
      <c r="AY124" s="88">
        <f t="shared" si="35"/>
        <v>84454.32</v>
      </c>
      <c r="AZ124" s="88">
        <f>ROUND(SUM(AZ92:AZ123),5)</f>
        <v>171350</v>
      </c>
      <c r="BA124" s="88">
        <f>ROUND(SUM(BA92:BA123),5)</f>
        <v>172150</v>
      </c>
      <c r="BB124" s="89"/>
    </row>
    <row r="125" spans="1:54" x14ac:dyDescent="0.3">
      <c r="A125" s="50"/>
      <c r="B125" s="50"/>
      <c r="C125" s="50"/>
      <c r="D125" s="50"/>
      <c r="E125" s="50"/>
      <c r="F125" s="50"/>
      <c r="G125" s="50"/>
      <c r="H125" s="51"/>
      <c r="I125" s="51"/>
      <c r="J125" s="51"/>
      <c r="K125" s="51"/>
      <c r="L125" s="51"/>
      <c r="M125" s="51"/>
      <c r="N125" s="51"/>
      <c r="O125" s="51"/>
      <c r="P125" s="51"/>
      <c r="Q125" s="51"/>
      <c r="R125" s="51"/>
      <c r="S125" s="51"/>
      <c r="T125" s="51"/>
      <c r="U125" s="51"/>
      <c r="V125" s="51"/>
      <c r="W125" s="51"/>
      <c r="AB125" s="86"/>
      <c r="AC125" s="86"/>
      <c r="AD125" s="86"/>
      <c r="AE125" s="86"/>
      <c r="AF125" s="86"/>
      <c r="AG125" s="86"/>
      <c r="AH125" s="87"/>
      <c r="AI125" s="87"/>
      <c r="AJ125" s="87"/>
      <c r="AK125" s="87"/>
      <c r="AL125" s="87"/>
      <c r="AM125" s="87"/>
      <c r="AN125" s="87"/>
      <c r="AO125" s="87"/>
      <c r="AP125" s="87"/>
      <c r="AQ125" s="87"/>
      <c r="AR125" s="87"/>
      <c r="AS125" s="87"/>
      <c r="AT125" s="87"/>
      <c r="AU125" s="87"/>
      <c r="AV125" s="87"/>
      <c r="AW125" s="87"/>
      <c r="AX125" s="87"/>
      <c r="AY125" s="88"/>
      <c r="AZ125" s="88"/>
      <c r="BA125" s="88"/>
      <c r="BB125" s="89"/>
    </row>
    <row r="126" spans="1:54" x14ac:dyDescent="0.3">
      <c r="A126" s="50"/>
      <c r="B126" s="50"/>
      <c r="C126" s="50"/>
      <c r="D126" s="50"/>
      <c r="E126" s="50"/>
      <c r="F126" s="50"/>
      <c r="G126" s="50"/>
      <c r="H126" s="51"/>
      <c r="I126" s="51"/>
      <c r="J126" s="51"/>
      <c r="K126" s="51"/>
      <c r="L126" s="51"/>
      <c r="M126" s="51"/>
      <c r="N126" s="51"/>
      <c r="O126" s="51"/>
      <c r="P126" s="51"/>
      <c r="Q126" s="51"/>
      <c r="R126" s="51"/>
      <c r="S126" s="51"/>
      <c r="T126" s="51"/>
      <c r="U126" s="51"/>
      <c r="V126" s="51"/>
      <c r="W126" s="51"/>
      <c r="AB126" s="86"/>
      <c r="AC126" s="86"/>
      <c r="AD126" s="86"/>
      <c r="AE126" s="86"/>
      <c r="AF126" s="86"/>
      <c r="AG126" s="86"/>
      <c r="AH126" s="87"/>
      <c r="AI126" s="87"/>
      <c r="AJ126" s="87"/>
      <c r="AK126" s="87"/>
      <c r="AL126" s="87"/>
      <c r="AM126" s="87"/>
      <c r="AN126" s="87"/>
      <c r="AO126" s="87"/>
      <c r="AP126" s="87"/>
      <c r="AQ126" s="87"/>
      <c r="AR126" s="87"/>
      <c r="AS126" s="87"/>
      <c r="AT126" s="87"/>
      <c r="AU126" s="87"/>
      <c r="AV126" s="87"/>
      <c r="AW126" s="87"/>
      <c r="AX126" s="87"/>
      <c r="AY126" s="88"/>
      <c r="AZ126" s="88"/>
      <c r="BA126" s="88"/>
      <c r="BB126" s="89"/>
    </row>
    <row r="127" spans="1:54" x14ac:dyDescent="0.3">
      <c r="A127" s="50"/>
      <c r="B127" s="50"/>
      <c r="C127" s="50"/>
      <c r="D127" s="50"/>
      <c r="E127" s="50"/>
      <c r="F127" s="50"/>
      <c r="G127" s="50"/>
      <c r="H127" s="51"/>
      <c r="I127" s="51"/>
      <c r="J127" s="51"/>
      <c r="K127" s="51"/>
      <c r="L127" s="51"/>
      <c r="M127" s="51"/>
      <c r="N127" s="51"/>
      <c r="O127" s="51"/>
      <c r="P127" s="51"/>
      <c r="Q127" s="51"/>
      <c r="R127" s="51"/>
      <c r="S127" s="51"/>
      <c r="T127" s="51"/>
      <c r="U127" s="51"/>
      <c r="V127" s="51"/>
      <c r="W127" s="51"/>
      <c r="AB127" s="86"/>
      <c r="AC127" s="86"/>
      <c r="AD127" s="86"/>
      <c r="AE127" s="86"/>
      <c r="AF127" s="86"/>
      <c r="AG127" s="86"/>
      <c r="AH127" s="87"/>
      <c r="AI127" s="87"/>
      <c r="AJ127" s="87"/>
      <c r="AK127" s="87"/>
      <c r="AL127" s="87"/>
      <c r="AM127" s="87"/>
      <c r="AN127" s="87"/>
      <c r="AO127" s="87"/>
      <c r="AP127" s="87"/>
      <c r="AQ127" s="87"/>
      <c r="AR127" s="87"/>
      <c r="AS127" s="87"/>
      <c r="AT127" s="87"/>
      <c r="AU127" s="87"/>
      <c r="AV127" s="87"/>
      <c r="AW127" s="87"/>
      <c r="AX127" s="87"/>
      <c r="AY127" s="88"/>
      <c r="AZ127" s="88"/>
      <c r="BA127" s="88"/>
      <c r="BB127" s="89"/>
    </row>
    <row r="128" spans="1:54" x14ac:dyDescent="0.3">
      <c r="A128" s="50"/>
      <c r="B128" s="50"/>
      <c r="C128" s="50"/>
      <c r="D128" s="50"/>
      <c r="E128" s="50"/>
      <c r="F128" s="50"/>
      <c r="G128" s="50"/>
      <c r="H128" s="51"/>
      <c r="I128" s="51"/>
      <c r="J128" s="51"/>
      <c r="K128" s="51"/>
      <c r="L128" s="51"/>
      <c r="M128" s="51"/>
      <c r="N128" s="51"/>
      <c r="O128" s="51"/>
      <c r="P128" s="51"/>
      <c r="Q128" s="51"/>
      <c r="R128" s="51"/>
      <c r="S128" s="51"/>
      <c r="T128" s="51"/>
      <c r="U128" s="51"/>
      <c r="V128" s="51"/>
      <c r="W128" s="51"/>
      <c r="AB128" s="86"/>
      <c r="AC128" s="86"/>
      <c r="AD128" s="86"/>
      <c r="AE128" s="86"/>
      <c r="AF128" s="86"/>
      <c r="AG128" s="86"/>
      <c r="AH128" s="87"/>
      <c r="AI128" s="87"/>
      <c r="AJ128" s="87"/>
      <c r="AK128" s="87"/>
      <c r="AL128" s="87"/>
      <c r="AM128" s="87"/>
      <c r="AN128" s="87"/>
      <c r="AO128" s="87"/>
      <c r="AP128" s="87"/>
      <c r="AQ128" s="87"/>
      <c r="AR128" s="87"/>
      <c r="AS128" s="87"/>
      <c r="AT128" s="87"/>
      <c r="AU128" s="87"/>
      <c r="AV128" s="87"/>
      <c r="AW128" s="87"/>
      <c r="AX128" s="87"/>
      <c r="AY128" s="88"/>
      <c r="AZ128" s="88"/>
      <c r="BA128" s="88"/>
      <c r="BB128" s="89"/>
    </row>
    <row r="129" spans="1:54" x14ac:dyDescent="0.3">
      <c r="A129" s="50"/>
      <c r="B129" s="50"/>
      <c r="C129" s="50"/>
      <c r="D129" s="50"/>
      <c r="E129" s="50"/>
      <c r="F129" s="50"/>
      <c r="G129" s="50"/>
      <c r="H129" s="51"/>
      <c r="I129" s="51"/>
      <c r="J129" s="51"/>
      <c r="K129" s="51"/>
      <c r="L129" s="51"/>
      <c r="M129" s="51"/>
      <c r="N129" s="51"/>
      <c r="O129" s="51"/>
      <c r="P129" s="51"/>
      <c r="Q129" s="51"/>
      <c r="R129" s="51"/>
      <c r="S129" s="51"/>
      <c r="T129" s="51"/>
      <c r="U129" s="51"/>
      <c r="V129" s="51"/>
      <c r="W129" s="51"/>
      <c r="AB129" s="86"/>
      <c r="AC129" s="86"/>
      <c r="AD129" s="86"/>
      <c r="AE129" s="86"/>
      <c r="AF129" s="86"/>
      <c r="AG129" s="86"/>
      <c r="AH129" s="87"/>
      <c r="AI129" s="87"/>
      <c r="AJ129" s="87"/>
      <c r="AK129" s="87"/>
      <c r="AL129" s="87"/>
      <c r="AM129" s="87"/>
      <c r="AN129" s="87"/>
      <c r="AO129" s="87"/>
      <c r="AP129" s="87"/>
      <c r="AQ129" s="87"/>
      <c r="AR129" s="87"/>
      <c r="AS129" s="87"/>
      <c r="AT129" s="87"/>
      <c r="AU129" s="87"/>
      <c r="AV129" s="87"/>
      <c r="AW129" s="87"/>
      <c r="AX129" s="87"/>
      <c r="AY129" s="88"/>
      <c r="AZ129" s="88"/>
      <c r="BA129" s="88"/>
      <c r="BB129" s="89"/>
    </row>
    <row r="130" spans="1:54" x14ac:dyDescent="0.3">
      <c r="A130" s="50"/>
      <c r="B130" s="50"/>
      <c r="C130" s="50"/>
      <c r="D130" s="50"/>
      <c r="E130" s="50"/>
      <c r="F130" s="50"/>
      <c r="G130" s="50"/>
      <c r="H130" s="51"/>
      <c r="I130" s="51"/>
      <c r="J130" s="51"/>
      <c r="K130" s="51"/>
      <c r="L130" s="51"/>
      <c r="M130" s="51"/>
      <c r="N130" s="51"/>
      <c r="O130" s="51"/>
      <c r="P130" s="51"/>
      <c r="Q130" s="51"/>
      <c r="R130" s="51"/>
      <c r="S130" s="51"/>
      <c r="T130" s="51"/>
      <c r="U130" s="51"/>
      <c r="V130" s="51"/>
      <c r="W130" s="51"/>
      <c r="AB130" s="86"/>
      <c r="AC130" s="86"/>
      <c r="AD130" s="86"/>
      <c r="AE130" s="86"/>
      <c r="AF130" s="86"/>
      <c r="AG130" s="86"/>
      <c r="AH130" s="87"/>
      <c r="AI130" s="87"/>
      <c r="AJ130" s="87"/>
      <c r="AK130" s="87"/>
      <c r="AL130" s="87"/>
      <c r="AM130" s="87"/>
      <c r="AN130" s="87"/>
      <c r="AO130" s="87"/>
      <c r="AP130" s="87"/>
      <c r="AQ130" s="87"/>
      <c r="AR130" s="87"/>
      <c r="AS130" s="87"/>
      <c r="AT130" s="87"/>
      <c r="AU130" s="87"/>
      <c r="AV130" s="87"/>
      <c r="AW130" s="87"/>
      <c r="AX130" s="87"/>
      <c r="AY130" s="88"/>
      <c r="AZ130" s="88"/>
      <c r="BA130" s="88"/>
      <c r="BB130" s="89"/>
    </row>
    <row r="131" spans="1:54" x14ac:dyDescent="0.3">
      <c r="A131" s="50"/>
      <c r="B131" s="50"/>
      <c r="C131" s="50"/>
      <c r="D131" s="50"/>
      <c r="E131" s="50"/>
      <c r="F131" s="50"/>
      <c r="G131" s="50"/>
      <c r="H131" s="51"/>
      <c r="I131" s="51"/>
      <c r="J131" s="51"/>
      <c r="K131" s="51"/>
      <c r="L131" s="51"/>
      <c r="M131" s="51"/>
      <c r="N131" s="51"/>
      <c r="O131" s="51"/>
      <c r="P131" s="51"/>
      <c r="Q131" s="51"/>
      <c r="R131" s="51"/>
      <c r="S131" s="51"/>
      <c r="T131" s="51"/>
      <c r="U131" s="51"/>
      <c r="V131" s="51"/>
      <c r="W131" s="51"/>
      <c r="AB131" s="86"/>
      <c r="AC131" s="86"/>
      <c r="AD131" s="86"/>
      <c r="AE131" s="86"/>
      <c r="AF131" s="86"/>
      <c r="AG131" s="86"/>
      <c r="AH131" s="87"/>
      <c r="AI131" s="87"/>
      <c r="AJ131" s="87"/>
      <c r="AK131" s="87"/>
      <c r="AL131" s="87"/>
      <c r="AM131" s="87"/>
      <c r="AN131" s="87"/>
      <c r="AO131" s="87"/>
      <c r="AP131" s="87"/>
      <c r="AQ131" s="87"/>
      <c r="AR131" s="87"/>
      <c r="AS131" s="87"/>
      <c r="AT131" s="87"/>
      <c r="AU131" s="87"/>
      <c r="AV131" s="87"/>
      <c r="AW131" s="87"/>
      <c r="AX131" s="87"/>
      <c r="AY131" s="88"/>
      <c r="AZ131" s="88"/>
      <c r="BA131" s="88"/>
      <c r="BB131" s="89"/>
    </row>
    <row r="132" spans="1:54" x14ac:dyDescent="0.3">
      <c r="A132" s="50"/>
      <c r="B132" s="50"/>
      <c r="C132" s="50"/>
      <c r="D132" s="50"/>
      <c r="E132" s="50"/>
      <c r="F132" s="50"/>
      <c r="G132" s="50"/>
      <c r="H132" s="51"/>
      <c r="I132" s="51"/>
      <c r="J132" s="51"/>
      <c r="K132" s="51"/>
      <c r="L132" s="51"/>
      <c r="M132" s="51"/>
      <c r="N132" s="51"/>
      <c r="O132" s="51"/>
      <c r="P132" s="51"/>
      <c r="Q132" s="51"/>
      <c r="R132" s="51"/>
      <c r="S132" s="51"/>
      <c r="T132" s="51"/>
      <c r="U132" s="51"/>
      <c r="V132" s="51"/>
      <c r="W132" s="51"/>
      <c r="AB132" s="86"/>
      <c r="AC132" s="86"/>
      <c r="AD132" s="86"/>
      <c r="AE132" s="86"/>
      <c r="AF132" s="86"/>
      <c r="AG132" s="86"/>
      <c r="AH132" s="87"/>
      <c r="AI132" s="87"/>
      <c r="AJ132" s="87"/>
      <c r="AK132" s="87"/>
      <c r="AL132" s="87"/>
      <c r="AM132" s="87"/>
      <c r="AN132" s="87"/>
      <c r="AO132" s="87"/>
      <c r="AP132" s="87"/>
      <c r="AQ132" s="87"/>
      <c r="AR132" s="87"/>
      <c r="AS132" s="87"/>
      <c r="AT132" s="87"/>
      <c r="AU132" s="87"/>
      <c r="AV132" s="87"/>
      <c r="AW132" s="87"/>
      <c r="AX132" s="87"/>
      <c r="AY132" s="88"/>
      <c r="AZ132" s="88"/>
      <c r="BA132" s="88"/>
      <c r="BB132" s="89"/>
    </row>
    <row r="133" spans="1:54" x14ac:dyDescent="0.3">
      <c r="A133" s="50"/>
      <c r="B133" s="50"/>
      <c r="C133" s="50"/>
      <c r="D133" s="50"/>
      <c r="E133" s="50"/>
      <c r="F133" s="50"/>
      <c r="G133" s="50"/>
      <c r="H133" s="51"/>
      <c r="I133" s="51"/>
      <c r="J133" s="51"/>
      <c r="K133" s="51"/>
      <c r="L133" s="51"/>
      <c r="M133" s="51"/>
      <c r="N133" s="51"/>
      <c r="O133" s="51"/>
      <c r="P133" s="51"/>
      <c r="Q133" s="51"/>
      <c r="R133" s="51"/>
      <c r="S133" s="51"/>
      <c r="T133" s="51"/>
      <c r="U133" s="51"/>
      <c r="V133" s="51"/>
      <c r="W133" s="51"/>
      <c r="AB133" s="86"/>
      <c r="AC133" s="86"/>
      <c r="AD133" s="86"/>
      <c r="AE133" s="86"/>
      <c r="AF133" s="86"/>
      <c r="AG133" s="86"/>
      <c r="AH133" s="87"/>
      <c r="AI133" s="87"/>
      <c r="AJ133" s="87"/>
      <c r="AK133" s="87"/>
      <c r="AL133" s="87"/>
      <c r="AM133" s="87"/>
      <c r="AN133" s="87"/>
      <c r="AO133" s="87"/>
      <c r="AP133" s="87"/>
      <c r="AQ133" s="87"/>
      <c r="AR133" s="87"/>
      <c r="AS133" s="87"/>
      <c r="AT133" s="87"/>
      <c r="AU133" s="87"/>
      <c r="AV133" s="87"/>
      <c r="AW133" s="87"/>
      <c r="AX133" s="87"/>
      <c r="AY133" s="88"/>
      <c r="AZ133" s="88"/>
      <c r="BA133" s="88"/>
      <c r="BB133" s="89"/>
    </row>
    <row r="134" spans="1:54" x14ac:dyDescent="0.3">
      <c r="A134" s="50"/>
      <c r="B134" s="50"/>
      <c r="C134" s="50"/>
      <c r="D134" s="50"/>
      <c r="E134" s="50"/>
      <c r="F134" s="50"/>
      <c r="G134" s="50"/>
      <c r="H134" s="51"/>
      <c r="I134" s="51"/>
      <c r="J134" s="51"/>
      <c r="K134" s="51"/>
      <c r="L134" s="51"/>
      <c r="M134" s="51"/>
      <c r="N134" s="51"/>
      <c r="O134" s="51"/>
      <c r="P134" s="51"/>
      <c r="Q134" s="51"/>
      <c r="R134" s="51"/>
      <c r="S134" s="51"/>
      <c r="T134" s="51"/>
      <c r="U134" s="51"/>
      <c r="V134" s="51"/>
      <c r="W134" s="51"/>
      <c r="AB134" s="86"/>
      <c r="AC134" s="86"/>
      <c r="AD134" s="86"/>
      <c r="AE134" s="86"/>
      <c r="AF134" s="86"/>
      <c r="AG134" s="86"/>
      <c r="AH134" s="87"/>
      <c r="AI134" s="87"/>
      <c r="AJ134" s="87"/>
      <c r="AK134" s="87"/>
      <c r="AL134" s="87"/>
      <c r="AM134" s="87"/>
      <c r="AN134" s="87"/>
      <c r="AO134" s="87"/>
      <c r="AP134" s="87"/>
      <c r="AQ134" s="87"/>
      <c r="AR134" s="87"/>
      <c r="AS134" s="87"/>
      <c r="AT134" s="87"/>
      <c r="AU134" s="87"/>
      <c r="AV134" s="87"/>
      <c r="AW134" s="87"/>
      <c r="AX134" s="87"/>
      <c r="AY134" s="88"/>
      <c r="AZ134" s="88"/>
      <c r="BA134" s="88"/>
      <c r="BB134" s="89"/>
    </row>
    <row r="135" spans="1:54" x14ac:dyDescent="0.3">
      <c r="A135" s="50"/>
      <c r="B135" s="50"/>
      <c r="C135" s="50"/>
      <c r="D135" s="50"/>
      <c r="E135" s="50"/>
      <c r="F135" s="50"/>
      <c r="G135" s="50"/>
      <c r="H135" s="51"/>
      <c r="I135" s="51"/>
      <c r="J135" s="51"/>
      <c r="K135" s="51"/>
      <c r="L135" s="51"/>
      <c r="M135" s="51"/>
      <c r="N135" s="51"/>
      <c r="O135" s="51"/>
      <c r="P135" s="51"/>
      <c r="Q135" s="51"/>
      <c r="R135" s="51"/>
      <c r="S135" s="51"/>
      <c r="T135" s="51"/>
      <c r="U135" s="51"/>
      <c r="V135" s="51"/>
      <c r="W135" s="51"/>
      <c r="AB135" s="86"/>
      <c r="AC135" s="86"/>
      <c r="AD135" s="86"/>
      <c r="AE135" s="86"/>
      <c r="AF135" s="86"/>
      <c r="AG135" s="86"/>
      <c r="AH135" s="87"/>
      <c r="AI135" s="87"/>
      <c r="AJ135" s="87"/>
      <c r="AK135" s="87"/>
      <c r="AL135" s="87"/>
      <c r="AM135" s="87"/>
      <c r="AN135" s="87"/>
      <c r="AO135" s="87"/>
      <c r="AP135" s="87"/>
      <c r="AQ135" s="87"/>
      <c r="AR135" s="87"/>
      <c r="AS135" s="87"/>
      <c r="AT135" s="87"/>
      <c r="AU135" s="87"/>
      <c r="AV135" s="87"/>
      <c r="AW135" s="87"/>
      <c r="AX135" s="87"/>
      <c r="AY135" s="88"/>
      <c r="AZ135" s="88"/>
      <c r="BA135" s="88"/>
      <c r="BB135" s="89"/>
    </row>
    <row r="136" spans="1:54" x14ac:dyDescent="0.3">
      <c r="A136" s="50"/>
      <c r="B136" s="50"/>
      <c r="C136" s="50"/>
      <c r="D136" s="50"/>
      <c r="E136" s="50"/>
      <c r="F136" s="50" t="s">
        <v>163</v>
      </c>
      <c r="G136" s="50"/>
      <c r="H136" s="51"/>
      <c r="I136" s="51"/>
      <c r="J136" s="51"/>
      <c r="K136" s="51"/>
      <c r="L136" s="51"/>
      <c r="M136" s="51"/>
      <c r="N136" s="51"/>
      <c r="O136" s="51"/>
      <c r="P136" s="51"/>
      <c r="Q136" s="51"/>
      <c r="R136" s="51"/>
      <c r="S136" s="51"/>
      <c r="T136" s="51"/>
      <c r="U136" s="51"/>
      <c r="V136" s="51"/>
      <c r="W136" s="51"/>
      <c r="AB136" s="86"/>
      <c r="AC136" s="86"/>
      <c r="AD136" s="86"/>
      <c r="AE136" s="86"/>
      <c r="AF136" s="86" t="s">
        <v>163</v>
      </c>
      <c r="AG136" s="86"/>
      <c r="AH136" s="87"/>
      <c r="AI136" s="87"/>
      <c r="AJ136" s="87"/>
      <c r="AK136" s="87"/>
      <c r="AL136" s="87"/>
      <c r="AM136" s="87"/>
      <c r="AN136" s="87"/>
      <c r="AO136" s="87"/>
      <c r="AP136" s="87"/>
      <c r="AQ136" s="87"/>
      <c r="AR136" s="87"/>
      <c r="AS136" s="87"/>
      <c r="AT136" s="87"/>
      <c r="AU136" s="87"/>
      <c r="AV136" s="87"/>
      <c r="AW136" s="87"/>
      <c r="AX136" s="87"/>
      <c r="AY136" s="88"/>
      <c r="AZ136" s="88"/>
      <c r="BA136" s="88"/>
      <c r="BB136" s="89"/>
    </row>
    <row r="137" spans="1:54" x14ac:dyDescent="0.3">
      <c r="A137" s="50"/>
      <c r="B137" s="50"/>
      <c r="C137" s="50"/>
      <c r="D137" s="50"/>
      <c r="E137" s="50"/>
      <c r="F137" s="50"/>
      <c r="G137" s="50" t="s">
        <v>164</v>
      </c>
      <c r="H137" s="51">
        <v>1792.61</v>
      </c>
      <c r="I137" s="51">
        <v>0</v>
      </c>
      <c r="J137" s="51">
        <v>0</v>
      </c>
      <c r="K137" s="51">
        <v>387.88</v>
      </c>
      <c r="L137" s="51">
        <f>2523.37-1900</f>
        <v>623.36999999999989</v>
      </c>
      <c r="M137" s="51">
        <v>2521.58</v>
      </c>
      <c r="N137" s="51">
        <v>2451.31</v>
      </c>
      <c r="O137" s="51">
        <v>0</v>
      </c>
      <c r="P137" s="51">
        <v>223.58</v>
      </c>
      <c r="Q137" s="51">
        <v>0</v>
      </c>
      <c r="R137" s="51">
        <v>989.58</v>
      </c>
      <c r="S137" s="51">
        <v>190</v>
      </c>
      <c r="T137" s="51"/>
      <c r="U137" s="51">
        <f t="shared" ref="U137:U149" si="38">ROUND(SUM(H137:T137),5)</f>
        <v>9179.91</v>
      </c>
      <c r="V137" s="67">
        <v>10000</v>
      </c>
      <c r="W137" s="67">
        <v>15000</v>
      </c>
      <c r="AB137" s="86"/>
      <c r="AC137" s="86"/>
      <c r="AD137" s="86"/>
      <c r="AE137" s="86"/>
      <c r="AF137" s="86"/>
      <c r="AG137" s="86" t="s">
        <v>164</v>
      </c>
      <c r="AH137" s="87"/>
      <c r="AI137" s="87"/>
      <c r="AJ137" s="87"/>
      <c r="AK137" s="87"/>
      <c r="AL137" s="87">
        <v>0</v>
      </c>
      <c r="AM137" s="87">
        <v>0</v>
      </c>
      <c r="AN137" s="87">
        <v>256.27</v>
      </c>
      <c r="AO137" s="87">
        <v>0</v>
      </c>
      <c r="AP137" s="87">
        <v>309.95</v>
      </c>
      <c r="AQ137" s="87">
        <v>0</v>
      </c>
      <c r="AR137" s="87">
        <v>0</v>
      </c>
      <c r="AS137" s="87">
        <v>100</v>
      </c>
      <c r="AT137" s="87">
        <v>0</v>
      </c>
      <c r="AU137" s="87">
        <v>0</v>
      </c>
      <c r="AV137" s="87">
        <v>0</v>
      </c>
      <c r="AW137" s="87">
        <v>0</v>
      </c>
      <c r="AX137" s="87"/>
      <c r="AY137" s="88">
        <f t="shared" ref="AY137:AY149" si="39">ROUND(SUM(AH137:AX137),5)</f>
        <v>666.22</v>
      </c>
      <c r="AZ137" s="88">
        <v>10000</v>
      </c>
      <c r="BA137" s="88">
        <v>10000</v>
      </c>
      <c r="BB137" s="89"/>
    </row>
    <row r="138" spans="1:54" x14ac:dyDescent="0.3">
      <c r="A138" s="50"/>
      <c r="B138" s="50"/>
      <c r="C138" s="50"/>
      <c r="D138" s="50"/>
      <c r="E138" s="50"/>
      <c r="F138" s="50"/>
      <c r="G138" s="50" t="s">
        <v>165</v>
      </c>
      <c r="H138" s="51">
        <v>0</v>
      </c>
      <c r="I138" s="51">
        <v>0</v>
      </c>
      <c r="J138" s="51">
        <v>0</v>
      </c>
      <c r="K138" s="51">
        <v>0</v>
      </c>
      <c r="L138" s="51">
        <v>0</v>
      </c>
      <c r="M138" s="51">
        <v>0</v>
      </c>
      <c r="N138" s="51">
        <v>0</v>
      </c>
      <c r="O138" s="51">
        <v>0</v>
      </c>
      <c r="P138" s="51">
        <v>0</v>
      </c>
      <c r="Q138" s="51">
        <v>0</v>
      </c>
      <c r="R138" s="51">
        <v>0</v>
      </c>
      <c r="S138" s="51">
        <v>0</v>
      </c>
      <c r="T138" s="51"/>
      <c r="U138" s="51">
        <f t="shared" si="38"/>
        <v>0</v>
      </c>
      <c r="V138" s="67">
        <v>2500</v>
      </c>
      <c r="W138" s="67">
        <v>2500</v>
      </c>
      <c r="AB138" s="86"/>
      <c r="AC138" s="86"/>
      <c r="AD138" s="86"/>
      <c r="AE138" s="86"/>
      <c r="AF138" s="86"/>
      <c r="AG138" s="86" t="s">
        <v>165</v>
      </c>
      <c r="AH138" s="87"/>
      <c r="AI138" s="87"/>
      <c r="AJ138" s="87"/>
      <c r="AK138" s="87"/>
      <c r="AL138" s="87">
        <v>260</v>
      </c>
      <c r="AM138" s="87">
        <v>0</v>
      </c>
      <c r="AN138" s="87">
        <v>0</v>
      </c>
      <c r="AO138" s="87">
        <v>0</v>
      </c>
      <c r="AP138" s="87">
        <v>0</v>
      </c>
      <c r="AQ138" s="87">
        <v>0</v>
      </c>
      <c r="AR138" s="87">
        <v>55.85</v>
      </c>
      <c r="AS138" s="87">
        <v>0</v>
      </c>
      <c r="AT138" s="87">
        <v>675</v>
      </c>
      <c r="AU138" s="87">
        <v>1525</v>
      </c>
      <c r="AV138" s="87">
        <v>591</v>
      </c>
      <c r="AW138" s="87">
        <v>0</v>
      </c>
      <c r="AX138" s="87"/>
      <c r="AY138" s="88">
        <f t="shared" si="39"/>
        <v>3106.85</v>
      </c>
      <c r="AZ138" s="88">
        <v>2500</v>
      </c>
      <c r="BA138" s="88">
        <v>2500</v>
      </c>
      <c r="BB138" s="89"/>
    </row>
    <row r="139" spans="1:54" x14ac:dyDescent="0.3">
      <c r="A139" s="50"/>
      <c r="B139" s="50"/>
      <c r="C139" s="50"/>
      <c r="D139" s="50"/>
      <c r="E139" s="50"/>
      <c r="F139" s="50"/>
      <c r="G139" s="50" t="s">
        <v>166</v>
      </c>
      <c r="H139" s="51">
        <v>2668.6</v>
      </c>
      <c r="I139" s="51">
        <v>61</v>
      </c>
      <c r="J139" s="51">
        <v>490</v>
      </c>
      <c r="K139" s="51">
        <v>2228</v>
      </c>
      <c r="L139" s="51">
        <v>2690</v>
      </c>
      <c r="M139" s="51">
        <v>490</v>
      </c>
      <c r="N139" s="51">
        <v>490</v>
      </c>
      <c r="O139" s="51">
        <v>2228</v>
      </c>
      <c r="P139" s="51">
        <v>539.59</v>
      </c>
      <c r="Q139" s="51">
        <v>2135.7199999999998</v>
      </c>
      <c r="R139" s="51">
        <v>2280.1999999999998</v>
      </c>
      <c r="S139" s="51">
        <v>490</v>
      </c>
      <c r="T139" s="51"/>
      <c r="U139" s="51">
        <f t="shared" si="38"/>
        <v>16791.11</v>
      </c>
      <c r="V139" s="67">
        <v>16500</v>
      </c>
      <c r="W139" s="67">
        <v>18000</v>
      </c>
      <c r="AB139" s="86"/>
      <c r="AC139" s="86"/>
      <c r="AD139" s="86"/>
      <c r="AE139" s="86"/>
      <c r="AF139" s="86"/>
      <c r="AG139" s="86" t="s">
        <v>166</v>
      </c>
      <c r="AH139" s="87"/>
      <c r="AI139" s="87"/>
      <c r="AJ139" s="87"/>
      <c r="AK139" s="87"/>
      <c r="AL139" s="87">
        <v>2873.04</v>
      </c>
      <c r="AM139" s="87">
        <v>51</v>
      </c>
      <c r="AN139" s="87">
        <v>490</v>
      </c>
      <c r="AO139" s="87">
        <v>2228</v>
      </c>
      <c r="AP139" s="87">
        <v>650.25</v>
      </c>
      <c r="AQ139" s="87">
        <v>497.74</v>
      </c>
      <c r="AR139" s="87">
        <v>2718</v>
      </c>
      <c r="AS139" s="87">
        <v>490</v>
      </c>
      <c r="AT139" s="87">
        <v>490</v>
      </c>
      <c r="AU139" s="87">
        <v>504.13</v>
      </c>
      <c r="AV139" s="87">
        <v>2433.37</v>
      </c>
      <c r="AW139" s="87">
        <v>0</v>
      </c>
      <c r="AX139" s="87"/>
      <c r="AY139" s="88">
        <f t="shared" si="39"/>
        <v>13425.53</v>
      </c>
      <c r="AZ139" s="88">
        <v>16500</v>
      </c>
      <c r="BA139" s="88">
        <v>16500</v>
      </c>
      <c r="BB139" s="89"/>
    </row>
    <row r="140" spans="1:54" x14ac:dyDescent="0.3">
      <c r="A140" s="50"/>
      <c r="B140" s="50"/>
      <c r="C140" s="50"/>
      <c r="D140" s="50"/>
      <c r="E140" s="50"/>
      <c r="F140" s="50"/>
      <c r="G140" s="50" t="s">
        <v>167</v>
      </c>
      <c r="H140" s="51">
        <v>900</v>
      </c>
      <c r="I140" s="51">
        <v>46</v>
      </c>
      <c r="J140" s="51">
        <v>450</v>
      </c>
      <c r="K140" s="51">
        <v>496</v>
      </c>
      <c r="L140" s="51">
        <v>691</v>
      </c>
      <c r="M140" s="51">
        <v>450</v>
      </c>
      <c r="N140" s="51">
        <v>546</v>
      </c>
      <c r="O140" s="51">
        <v>500</v>
      </c>
      <c r="P140" s="51">
        <v>546</v>
      </c>
      <c r="Q140" s="51">
        <v>546</v>
      </c>
      <c r="R140" s="51">
        <v>500</v>
      </c>
      <c r="S140" s="51">
        <v>450</v>
      </c>
      <c r="T140" s="51"/>
      <c r="U140" s="51">
        <f t="shared" si="38"/>
        <v>6121</v>
      </c>
      <c r="V140" s="67">
        <v>6000</v>
      </c>
      <c r="W140" s="67">
        <v>6800</v>
      </c>
      <c r="AB140" s="86"/>
      <c r="AC140" s="86"/>
      <c r="AD140" s="86"/>
      <c r="AE140" s="86"/>
      <c r="AF140" s="86"/>
      <c r="AG140" s="86" t="s">
        <v>167</v>
      </c>
      <c r="AH140" s="87"/>
      <c r="AI140" s="87"/>
      <c r="AJ140" s="87"/>
      <c r="AK140" s="87"/>
      <c r="AL140" s="87">
        <v>496</v>
      </c>
      <c r="AM140" s="87">
        <v>450</v>
      </c>
      <c r="AN140" s="87">
        <v>496</v>
      </c>
      <c r="AO140" s="87">
        <v>450</v>
      </c>
      <c r="AP140" s="87">
        <v>450</v>
      </c>
      <c r="AQ140" s="87">
        <v>496</v>
      </c>
      <c r="AR140" s="87">
        <v>496</v>
      </c>
      <c r="AS140" s="87">
        <v>450</v>
      </c>
      <c r="AT140" s="87">
        <v>496</v>
      </c>
      <c r="AU140" s="87">
        <v>450</v>
      </c>
      <c r="AV140" s="87">
        <v>496</v>
      </c>
      <c r="AW140" s="87">
        <v>450</v>
      </c>
      <c r="AX140" s="87"/>
      <c r="AY140" s="88">
        <f t="shared" si="39"/>
        <v>5676</v>
      </c>
      <c r="AZ140" s="88">
        <v>6000</v>
      </c>
      <c r="BA140" s="88">
        <v>6000</v>
      </c>
      <c r="BB140" s="89"/>
    </row>
    <row r="141" spans="1:54" x14ac:dyDescent="0.3">
      <c r="A141" s="50"/>
      <c r="B141" s="50"/>
      <c r="C141" s="50"/>
      <c r="D141" s="50"/>
      <c r="E141" s="50"/>
      <c r="F141" s="50"/>
      <c r="G141" s="50" t="s">
        <v>168</v>
      </c>
      <c r="H141" s="51">
        <v>0</v>
      </c>
      <c r="I141" s="51">
        <v>1400</v>
      </c>
      <c r="J141" s="51">
        <v>0</v>
      </c>
      <c r="K141" s="51">
        <v>0</v>
      </c>
      <c r="L141" s="51">
        <v>400</v>
      </c>
      <c r="M141" s="51">
        <v>0</v>
      </c>
      <c r="N141" s="51">
        <v>0</v>
      </c>
      <c r="O141" s="51">
        <v>0</v>
      </c>
      <c r="P141" s="51">
        <v>0</v>
      </c>
      <c r="Q141" s="51">
        <v>0</v>
      </c>
      <c r="R141" s="51">
        <v>0</v>
      </c>
      <c r="S141" s="51">
        <v>800</v>
      </c>
      <c r="T141" s="51"/>
      <c r="U141" s="51">
        <f t="shared" si="38"/>
        <v>2600</v>
      </c>
      <c r="V141" s="67">
        <v>2500</v>
      </c>
      <c r="W141" s="67">
        <v>2650</v>
      </c>
      <c r="AB141" s="86"/>
      <c r="AC141" s="86"/>
      <c r="AD141" s="86"/>
      <c r="AE141" s="86"/>
      <c r="AF141" s="86"/>
      <c r="AG141" s="86" t="s">
        <v>168</v>
      </c>
      <c r="AH141" s="87"/>
      <c r="AI141" s="87"/>
      <c r="AJ141" s="87"/>
      <c r="AK141" s="87"/>
      <c r="AL141" s="87">
        <v>300</v>
      </c>
      <c r="AM141" s="87">
        <v>0</v>
      </c>
      <c r="AN141" s="87">
        <v>0</v>
      </c>
      <c r="AO141" s="87">
        <v>0</v>
      </c>
      <c r="AP141" s="87">
        <v>0</v>
      </c>
      <c r="AQ141" s="87">
        <v>0</v>
      </c>
      <c r="AR141" s="87">
        <v>0</v>
      </c>
      <c r="AS141" s="87">
        <v>0</v>
      </c>
      <c r="AT141" s="87">
        <v>0</v>
      </c>
      <c r="AU141" s="87">
        <v>0</v>
      </c>
      <c r="AV141" s="87">
        <v>0</v>
      </c>
      <c r="AW141" s="87">
        <v>0</v>
      </c>
      <c r="AX141" s="87"/>
      <c r="AY141" s="88">
        <f t="shared" si="39"/>
        <v>300</v>
      </c>
      <c r="AZ141" s="88">
        <v>3500</v>
      </c>
      <c r="BA141" s="88">
        <v>2500</v>
      </c>
      <c r="BB141" s="89" t="s">
        <v>252</v>
      </c>
    </row>
    <row r="142" spans="1:54" x14ac:dyDescent="0.3">
      <c r="A142" s="50"/>
      <c r="B142" s="50"/>
      <c r="C142" s="50"/>
      <c r="D142" s="50"/>
      <c r="E142" s="50"/>
      <c r="F142" s="50"/>
      <c r="G142" s="50" t="s">
        <v>169</v>
      </c>
      <c r="H142" s="51">
        <v>0</v>
      </c>
      <c r="I142" s="51">
        <v>0</v>
      </c>
      <c r="J142" s="51">
        <v>155</v>
      </c>
      <c r="K142" s="51">
        <v>172</v>
      </c>
      <c r="L142" s="51">
        <v>0</v>
      </c>
      <c r="M142" s="51">
        <v>930</v>
      </c>
      <c r="N142" s="51">
        <v>0</v>
      </c>
      <c r="O142" s="51">
        <v>0</v>
      </c>
      <c r="P142" s="51">
        <v>305</v>
      </c>
      <c r="Q142" s="51">
        <v>0</v>
      </c>
      <c r="R142" s="51">
        <v>761</v>
      </c>
      <c r="S142" s="51">
        <v>465</v>
      </c>
      <c r="T142" s="51"/>
      <c r="U142" s="51">
        <f t="shared" si="38"/>
        <v>2788</v>
      </c>
      <c r="V142" s="67">
        <v>2500</v>
      </c>
      <c r="W142" s="67">
        <v>3000</v>
      </c>
      <c r="AB142" s="86"/>
      <c r="AC142" s="86"/>
      <c r="AD142" s="86"/>
      <c r="AE142" s="86"/>
      <c r="AF142" s="86"/>
      <c r="AG142" s="86" t="s">
        <v>169</v>
      </c>
      <c r="AH142" s="87"/>
      <c r="AI142" s="87"/>
      <c r="AJ142" s="87"/>
      <c r="AK142" s="87"/>
      <c r="AL142" s="87">
        <v>0</v>
      </c>
      <c r="AM142" s="87">
        <v>0</v>
      </c>
      <c r="AN142" s="87">
        <v>389</v>
      </c>
      <c r="AO142" s="87">
        <v>125</v>
      </c>
      <c r="AP142" s="87">
        <v>250</v>
      </c>
      <c r="AQ142" s="87">
        <v>0</v>
      </c>
      <c r="AR142" s="87">
        <v>0</v>
      </c>
      <c r="AS142" s="87">
        <v>0</v>
      </c>
      <c r="AT142" s="87">
        <v>560</v>
      </c>
      <c r="AU142" s="87">
        <v>0</v>
      </c>
      <c r="AV142" s="87">
        <v>250</v>
      </c>
      <c r="AW142" s="87">
        <v>0</v>
      </c>
      <c r="AX142" s="87"/>
      <c r="AY142" s="88">
        <f t="shared" si="39"/>
        <v>1574</v>
      </c>
      <c r="AZ142" s="88">
        <v>2500</v>
      </c>
      <c r="BA142" s="88">
        <v>2500</v>
      </c>
      <c r="BB142" s="89"/>
    </row>
    <row r="143" spans="1:54" ht="13.8" customHeight="1" x14ac:dyDescent="0.3">
      <c r="A143" s="50"/>
      <c r="B143" s="50"/>
      <c r="C143" s="50"/>
      <c r="D143" s="50"/>
      <c r="E143" s="50"/>
      <c r="F143" s="50"/>
      <c r="G143" s="50" t="s">
        <v>170</v>
      </c>
      <c r="H143" s="51">
        <v>0</v>
      </c>
      <c r="I143" s="51">
        <v>0</v>
      </c>
      <c r="J143" s="51">
        <v>0</v>
      </c>
      <c r="K143" s="51">
        <v>0</v>
      </c>
      <c r="L143" s="51">
        <v>0</v>
      </c>
      <c r="M143" s="51">
        <v>0</v>
      </c>
      <c r="N143" s="51">
        <v>0</v>
      </c>
      <c r="O143" s="51">
        <v>0</v>
      </c>
      <c r="P143" s="51">
        <v>0</v>
      </c>
      <c r="Q143" s="51">
        <v>0</v>
      </c>
      <c r="R143" s="51">
        <v>0</v>
      </c>
      <c r="S143" s="51">
        <v>0</v>
      </c>
      <c r="T143" s="51"/>
      <c r="U143" s="51">
        <v>0</v>
      </c>
      <c r="V143" s="67">
        <v>400</v>
      </c>
      <c r="W143" s="67">
        <v>400</v>
      </c>
      <c r="AB143" s="86"/>
      <c r="AC143" s="86"/>
      <c r="AD143" s="86"/>
      <c r="AE143" s="86"/>
      <c r="AF143" s="86"/>
      <c r="AG143" s="86" t="s">
        <v>170</v>
      </c>
      <c r="AH143" s="87"/>
      <c r="AI143" s="87"/>
      <c r="AJ143" s="87"/>
      <c r="AK143" s="87"/>
      <c r="AL143" s="87">
        <v>0</v>
      </c>
      <c r="AM143" s="87">
        <v>0</v>
      </c>
      <c r="AN143" s="87">
        <v>0</v>
      </c>
      <c r="AO143" s="87">
        <v>0</v>
      </c>
      <c r="AP143" s="87">
        <v>0</v>
      </c>
      <c r="AQ143" s="87">
        <v>0</v>
      </c>
      <c r="AR143" s="87">
        <v>0</v>
      </c>
      <c r="AS143" s="87">
        <v>0</v>
      </c>
      <c r="AT143" s="87">
        <v>0</v>
      </c>
      <c r="AU143" s="87">
        <v>0</v>
      </c>
      <c r="AV143" s="87">
        <v>0</v>
      </c>
      <c r="AW143" s="87">
        <v>0</v>
      </c>
      <c r="AX143" s="87"/>
      <c r="AY143" s="88">
        <f t="shared" si="39"/>
        <v>0</v>
      </c>
      <c r="AZ143" s="88">
        <v>250</v>
      </c>
      <c r="BA143" s="88">
        <v>400</v>
      </c>
      <c r="BB143" s="89" t="s">
        <v>263</v>
      </c>
    </row>
    <row r="144" spans="1:54" ht="13.8" customHeight="1" x14ac:dyDescent="0.3">
      <c r="A144" s="50"/>
      <c r="B144" s="50"/>
      <c r="C144" s="50"/>
      <c r="D144" s="50"/>
      <c r="E144" s="50"/>
      <c r="F144" s="50"/>
      <c r="G144" s="50" t="s">
        <v>171</v>
      </c>
      <c r="H144" s="51">
        <v>333.11</v>
      </c>
      <c r="I144" s="51">
        <v>0</v>
      </c>
      <c r="J144" s="51">
        <v>666.22</v>
      </c>
      <c r="K144" s="51">
        <v>71.599999999999994</v>
      </c>
      <c r="L144" s="51">
        <v>666.22</v>
      </c>
      <c r="M144" s="51">
        <v>8306.75</v>
      </c>
      <c r="N144" s="51">
        <v>149.18</v>
      </c>
      <c r="O144" s="51">
        <v>7675.8</v>
      </c>
      <c r="P144" s="51">
        <v>327.41000000000003</v>
      </c>
      <c r="Q144" s="51">
        <v>59.1</v>
      </c>
      <c r="R144" s="51">
        <v>228.97</v>
      </c>
      <c r="S144" s="51">
        <v>758.23</v>
      </c>
      <c r="T144" s="51"/>
      <c r="U144" s="51">
        <f t="shared" si="38"/>
        <v>19242.59</v>
      </c>
      <c r="V144" s="67">
        <v>7500</v>
      </c>
      <c r="W144" s="67">
        <v>7500</v>
      </c>
      <c r="AB144" s="86"/>
      <c r="AC144" s="86"/>
      <c r="AD144" s="86"/>
      <c r="AE144" s="86"/>
      <c r="AF144" s="86"/>
      <c r="AG144" s="86" t="s">
        <v>171</v>
      </c>
      <c r="AH144" s="87"/>
      <c r="AI144" s="87"/>
      <c r="AJ144" s="87"/>
      <c r="AK144" s="87"/>
      <c r="AL144" s="87">
        <v>305.61</v>
      </c>
      <c r="AM144" s="87">
        <v>0</v>
      </c>
      <c r="AN144" s="87">
        <v>611.22</v>
      </c>
      <c r="AO144" s="87">
        <v>305.61</v>
      </c>
      <c r="AP144" s="87">
        <v>305.61</v>
      </c>
      <c r="AQ144" s="87">
        <v>414.25</v>
      </c>
      <c r="AR144" s="87">
        <v>305.61</v>
      </c>
      <c r="AS144" s="87">
        <v>0</v>
      </c>
      <c r="AT144" s="87">
        <v>611.22</v>
      </c>
      <c r="AU144" s="87">
        <v>305.61</v>
      </c>
      <c r="AV144" s="87">
        <v>305.61</v>
      </c>
      <c r="AW144" s="87">
        <v>305.61</v>
      </c>
      <c r="AX144" s="87"/>
      <c r="AY144" s="88">
        <f t="shared" si="39"/>
        <v>3775.96</v>
      </c>
      <c r="AZ144" s="88">
        <v>3700</v>
      </c>
      <c r="BA144" s="88">
        <v>7500</v>
      </c>
      <c r="BB144" s="89" t="s">
        <v>262</v>
      </c>
    </row>
    <row r="145" spans="1:56" ht="13.8" customHeight="1" x14ac:dyDescent="0.3">
      <c r="A145" s="50"/>
      <c r="B145" s="50"/>
      <c r="C145" s="50"/>
      <c r="D145" s="50"/>
      <c r="E145" s="50"/>
      <c r="F145" s="50"/>
      <c r="G145" s="50" t="s">
        <v>172</v>
      </c>
      <c r="H145" s="51">
        <v>187.95</v>
      </c>
      <c r="I145" s="51">
        <v>185.81</v>
      </c>
      <c r="J145" s="51">
        <v>187.35</v>
      </c>
      <c r="K145" s="51">
        <v>471.19</v>
      </c>
      <c r="L145" s="51">
        <v>36.840000000000003</v>
      </c>
      <c r="M145" s="51">
        <v>228.9</v>
      </c>
      <c r="N145" s="51">
        <v>0</v>
      </c>
      <c r="O145" s="51">
        <v>385.67</v>
      </c>
      <c r="P145" s="51">
        <v>484.47</v>
      </c>
      <c r="Q145" s="51">
        <v>184.32</v>
      </c>
      <c r="R145" s="51">
        <v>747.8</v>
      </c>
      <c r="S145" s="51">
        <v>185.81</v>
      </c>
      <c r="T145" s="51"/>
      <c r="U145" s="51">
        <f t="shared" si="38"/>
        <v>3286.11</v>
      </c>
      <c r="V145" s="67">
        <v>4000</v>
      </c>
      <c r="W145" s="67">
        <v>4800</v>
      </c>
      <c r="AB145" s="86"/>
      <c r="AC145" s="86"/>
      <c r="AD145" s="86"/>
      <c r="AE145" s="86"/>
      <c r="AF145" s="86"/>
      <c r="AG145" s="86" t="s">
        <v>172</v>
      </c>
      <c r="AH145" s="87"/>
      <c r="AI145" s="87"/>
      <c r="AJ145" s="87"/>
      <c r="AK145" s="87"/>
      <c r="AL145" s="87">
        <v>330.81</v>
      </c>
      <c r="AM145" s="87">
        <v>96.32</v>
      </c>
      <c r="AN145" s="87">
        <v>169.12</v>
      </c>
      <c r="AO145" s="87">
        <v>97.75</v>
      </c>
      <c r="AP145" s="87">
        <v>134.9</v>
      </c>
      <c r="AQ145" s="87">
        <v>147.91</v>
      </c>
      <c r="AR145" s="87">
        <v>325.38</v>
      </c>
      <c r="AS145" s="87">
        <v>0</v>
      </c>
      <c r="AT145" s="87">
        <v>265.42</v>
      </c>
      <c r="AU145" s="87">
        <v>163.34</v>
      </c>
      <c r="AV145" s="87">
        <v>122.25</v>
      </c>
      <c r="AW145" s="87">
        <v>199.82</v>
      </c>
      <c r="AX145" s="87"/>
      <c r="AY145" s="88">
        <f t="shared" si="39"/>
        <v>2053.02</v>
      </c>
      <c r="AZ145" s="88">
        <v>2800</v>
      </c>
      <c r="BA145" s="88">
        <v>4000</v>
      </c>
      <c r="BB145" s="89" t="s">
        <v>261</v>
      </c>
    </row>
    <row r="146" spans="1:56" x14ac:dyDescent="0.3">
      <c r="A146" s="50"/>
      <c r="B146" s="50"/>
      <c r="C146" s="50"/>
      <c r="D146" s="50"/>
      <c r="E146" s="50"/>
      <c r="F146" s="50"/>
      <c r="G146" s="50" t="s">
        <v>173</v>
      </c>
      <c r="H146" s="51">
        <v>199.95</v>
      </c>
      <c r="I146" s="51">
        <v>764.87</v>
      </c>
      <c r="J146" s="51">
        <v>199.95</v>
      </c>
      <c r="K146" s="51">
        <v>1384.11</v>
      </c>
      <c r="L146" s="51">
        <v>471.42</v>
      </c>
      <c r="M146" s="51">
        <v>1236.1400000000001</v>
      </c>
      <c r="N146" s="51">
        <v>1269.6099999999999</v>
      </c>
      <c r="O146" s="51">
        <v>258.58</v>
      </c>
      <c r="P146" s="51">
        <v>2321.1999999999998</v>
      </c>
      <c r="Q146" s="51">
        <v>1105.0999999999999</v>
      </c>
      <c r="R146" s="51">
        <v>1284.1099999999999</v>
      </c>
      <c r="S146" s="51">
        <v>938.47</v>
      </c>
      <c r="T146" s="51"/>
      <c r="U146" s="51">
        <f t="shared" si="38"/>
        <v>11433.51</v>
      </c>
      <c r="V146" s="67">
        <v>13000</v>
      </c>
      <c r="W146" s="67">
        <v>13000</v>
      </c>
      <c r="AB146" s="86"/>
      <c r="AC146" s="86"/>
      <c r="AD146" s="86"/>
      <c r="AE146" s="86"/>
      <c r="AF146" s="86"/>
      <c r="AG146" s="86" t="s">
        <v>173</v>
      </c>
      <c r="AH146" s="87"/>
      <c r="AI146" s="87"/>
      <c r="AJ146" s="87"/>
      <c r="AK146" s="87"/>
      <c r="AL146" s="87">
        <v>1549.97</v>
      </c>
      <c r="AM146" s="87">
        <v>1016.67</v>
      </c>
      <c r="AN146" s="87">
        <v>1015.39</v>
      </c>
      <c r="AO146" s="87">
        <v>289.32</v>
      </c>
      <c r="AP146" s="87">
        <v>1934.04</v>
      </c>
      <c r="AQ146" s="87">
        <v>903.78</v>
      </c>
      <c r="AR146" s="87">
        <v>1184.33</v>
      </c>
      <c r="AS146" s="87">
        <v>443.68</v>
      </c>
      <c r="AT146" s="87">
        <v>1731.99</v>
      </c>
      <c r="AU146" s="87">
        <v>1022.29</v>
      </c>
      <c r="AV146" s="87">
        <v>833.3</v>
      </c>
      <c r="AW146" s="87">
        <v>572.04999999999995</v>
      </c>
      <c r="AX146" s="87"/>
      <c r="AY146" s="88">
        <f t="shared" si="39"/>
        <v>12496.81</v>
      </c>
      <c r="AZ146" s="88">
        <v>12500</v>
      </c>
      <c r="BA146" s="88">
        <v>13000</v>
      </c>
      <c r="BB146" s="89"/>
    </row>
    <row r="147" spans="1:56" ht="15" thickBot="1" x14ac:dyDescent="0.35">
      <c r="A147" s="50"/>
      <c r="B147" s="50"/>
      <c r="C147" s="50"/>
      <c r="D147" s="50"/>
      <c r="E147" s="50"/>
      <c r="F147" s="50"/>
      <c r="G147" s="50" t="s">
        <v>174</v>
      </c>
      <c r="H147" s="51">
        <v>2011.87</v>
      </c>
      <c r="I147" s="51">
        <v>0</v>
      </c>
      <c r="J147" s="51">
        <v>299.66000000000003</v>
      </c>
      <c r="K147" s="51">
        <v>1323.9</v>
      </c>
      <c r="L147" s="51">
        <v>45.99</v>
      </c>
      <c r="M147" s="51">
        <v>442.46</v>
      </c>
      <c r="N147" s="51">
        <v>0</v>
      </c>
      <c r="O147" s="51">
        <v>342.55</v>
      </c>
      <c r="P147" s="51">
        <v>0</v>
      </c>
      <c r="Q147" s="51">
        <v>60.42</v>
      </c>
      <c r="R147" s="51">
        <v>0</v>
      </c>
      <c r="S147" s="51">
        <v>11382.67</v>
      </c>
      <c r="T147" s="51"/>
      <c r="U147" s="51">
        <f t="shared" si="38"/>
        <v>15909.52</v>
      </c>
      <c r="V147" s="67">
        <v>8500</v>
      </c>
      <c r="W147" s="67">
        <v>8500</v>
      </c>
      <c r="AB147" s="86"/>
      <c r="AC147" s="86"/>
      <c r="AD147" s="86"/>
      <c r="AE147" s="86"/>
      <c r="AF147" s="86"/>
      <c r="AG147" s="86" t="s">
        <v>174</v>
      </c>
      <c r="AH147" s="87"/>
      <c r="AI147" s="87"/>
      <c r="AJ147" s="87"/>
      <c r="AK147" s="87"/>
      <c r="AL147" s="87">
        <v>0</v>
      </c>
      <c r="AM147" s="87">
        <v>0</v>
      </c>
      <c r="AN147" s="87">
        <v>188.42</v>
      </c>
      <c r="AO147" s="87">
        <v>1763.16</v>
      </c>
      <c r="AP147" s="87">
        <v>0</v>
      </c>
      <c r="AQ147" s="87">
        <v>82</v>
      </c>
      <c r="AR147" s="87">
        <v>88</v>
      </c>
      <c r="AS147" s="87">
        <v>0</v>
      </c>
      <c r="AT147" s="87">
        <v>216</v>
      </c>
      <c r="AU147" s="87">
        <v>0</v>
      </c>
      <c r="AV147" s="87">
        <v>0</v>
      </c>
      <c r="AW147" s="87">
        <v>0</v>
      </c>
      <c r="AX147" s="87"/>
      <c r="AY147" s="88">
        <f t="shared" si="39"/>
        <v>2337.58</v>
      </c>
      <c r="AZ147" s="88">
        <v>8500</v>
      </c>
      <c r="BA147" s="88">
        <v>8500</v>
      </c>
      <c r="BB147" s="89"/>
    </row>
    <row r="148" spans="1:56" ht="15" thickBot="1" x14ac:dyDescent="0.35">
      <c r="A148" s="50"/>
      <c r="B148" s="50"/>
      <c r="C148" s="50"/>
      <c r="D148" s="50"/>
      <c r="E148" s="50"/>
      <c r="F148" s="50" t="s">
        <v>175</v>
      </c>
      <c r="G148" s="50"/>
      <c r="H148" s="53">
        <f t="shared" ref="H148:S148" si="40">ROUND(SUM(H136:H147),5)</f>
        <v>8094.09</v>
      </c>
      <c r="I148" s="53">
        <f t="shared" si="40"/>
        <v>2457.6799999999998</v>
      </c>
      <c r="J148" s="53">
        <f t="shared" si="40"/>
        <v>2448.1799999999998</v>
      </c>
      <c r="K148" s="53">
        <f t="shared" si="40"/>
        <v>6534.68</v>
      </c>
      <c r="L148" s="53">
        <f t="shared" si="40"/>
        <v>5624.84</v>
      </c>
      <c r="M148" s="53">
        <f t="shared" si="40"/>
        <v>14605.83</v>
      </c>
      <c r="N148" s="53">
        <f t="shared" si="40"/>
        <v>4906.1000000000004</v>
      </c>
      <c r="O148" s="53">
        <f t="shared" si="40"/>
        <v>11390.6</v>
      </c>
      <c r="P148" s="53">
        <f t="shared" si="40"/>
        <v>4747.25</v>
      </c>
      <c r="Q148" s="53">
        <f t="shared" si="40"/>
        <v>4090.66</v>
      </c>
      <c r="R148" s="53">
        <f t="shared" si="40"/>
        <v>6791.66</v>
      </c>
      <c r="S148" s="53">
        <f t="shared" si="40"/>
        <v>15660.18</v>
      </c>
      <c r="T148" s="53"/>
      <c r="U148" s="53">
        <f t="shared" si="38"/>
        <v>87351.75</v>
      </c>
      <c r="V148" s="53">
        <f>ROUND(SUM(V136:V147),5)</f>
        <v>73400</v>
      </c>
      <c r="W148" s="53">
        <f>ROUND(SUM(W136:W147),5)</f>
        <v>82150</v>
      </c>
      <c r="AB148" s="86"/>
      <c r="AC148" s="86"/>
      <c r="AD148" s="86"/>
      <c r="AE148" s="86" t="s">
        <v>176</v>
      </c>
      <c r="AF148" s="86" t="s">
        <v>175</v>
      </c>
      <c r="AG148" s="86"/>
      <c r="AH148" s="93"/>
      <c r="AI148" s="93"/>
      <c r="AJ148" s="93"/>
      <c r="AK148" s="93"/>
      <c r="AL148" s="93">
        <f t="shared" ref="AL148:AW148" si="41">ROUND(SUM(AL136:AL147),5)</f>
        <v>6115.43</v>
      </c>
      <c r="AM148" s="93">
        <f t="shared" si="41"/>
        <v>1613.99</v>
      </c>
      <c r="AN148" s="93">
        <f t="shared" si="41"/>
        <v>3615.42</v>
      </c>
      <c r="AO148" s="93">
        <f t="shared" si="41"/>
        <v>5258.84</v>
      </c>
      <c r="AP148" s="93">
        <f t="shared" si="41"/>
        <v>4034.75</v>
      </c>
      <c r="AQ148" s="93">
        <f t="shared" si="41"/>
        <v>2541.6799999999998</v>
      </c>
      <c r="AR148" s="93">
        <f t="shared" si="41"/>
        <v>5173.17</v>
      </c>
      <c r="AS148" s="93">
        <f t="shared" si="41"/>
        <v>1483.68</v>
      </c>
      <c r="AT148" s="93">
        <f t="shared" si="41"/>
        <v>5045.63</v>
      </c>
      <c r="AU148" s="93">
        <f t="shared" si="41"/>
        <v>3970.37</v>
      </c>
      <c r="AV148" s="93">
        <f t="shared" si="41"/>
        <v>5031.53</v>
      </c>
      <c r="AW148" s="93">
        <f t="shared" si="41"/>
        <v>1527.48</v>
      </c>
      <c r="AX148" s="93"/>
      <c r="AY148" s="94">
        <f t="shared" si="39"/>
        <v>45411.97</v>
      </c>
      <c r="AZ148" s="94">
        <f>ROUND(SUM(AZ136:AZ147),5)</f>
        <v>68750</v>
      </c>
      <c r="BA148" s="94">
        <f>ROUND(SUM(BA136:BA147),5)</f>
        <v>73400</v>
      </c>
      <c r="BB148" s="95"/>
    </row>
    <row r="149" spans="1:56" x14ac:dyDescent="0.3">
      <c r="A149" s="50"/>
      <c r="B149" s="50"/>
      <c r="C149" s="50"/>
      <c r="D149" s="50"/>
      <c r="E149" s="50" t="s">
        <v>176</v>
      </c>
      <c r="F149" s="50"/>
      <c r="G149" s="50"/>
      <c r="H149" s="51">
        <f t="shared" ref="H149:S149" si="42">ROUND(H72+H76+H124+H148,5)</f>
        <v>12924.06</v>
      </c>
      <c r="I149" s="51">
        <f t="shared" si="42"/>
        <v>11023.44</v>
      </c>
      <c r="J149" s="51">
        <f t="shared" si="42"/>
        <v>11741.11</v>
      </c>
      <c r="K149" s="51">
        <f t="shared" si="42"/>
        <v>25380.53</v>
      </c>
      <c r="L149" s="51">
        <f t="shared" si="42"/>
        <v>14068.64</v>
      </c>
      <c r="M149" s="51">
        <f t="shared" si="42"/>
        <v>23086.62</v>
      </c>
      <c r="N149" s="51">
        <f t="shared" si="42"/>
        <v>12862.43</v>
      </c>
      <c r="O149" s="51">
        <f t="shared" si="42"/>
        <v>16906.099999999999</v>
      </c>
      <c r="P149" s="51">
        <f t="shared" si="42"/>
        <v>11140.94</v>
      </c>
      <c r="Q149" s="51">
        <f t="shared" si="42"/>
        <v>11727.36</v>
      </c>
      <c r="R149" s="51">
        <f t="shared" si="42"/>
        <v>11613.56</v>
      </c>
      <c r="S149" s="51">
        <f t="shared" si="42"/>
        <v>25653.360000000001</v>
      </c>
      <c r="T149" s="51"/>
      <c r="U149" s="51">
        <f t="shared" si="38"/>
        <v>188128.15</v>
      </c>
      <c r="V149" s="51">
        <f>ROUND(V72+V76+V124+V148,5)</f>
        <v>255150</v>
      </c>
      <c r="W149" s="51">
        <f>ROUND(W72+W76+W124+W148,5)</f>
        <v>270500</v>
      </c>
      <c r="AB149" s="86"/>
      <c r="AC149" s="86"/>
      <c r="AD149" s="86"/>
      <c r="AE149" s="86" t="s">
        <v>177</v>
      </c>
      <c r="AF149" s="86"/>
      <c r="AG149" s="86"/>
      <c r="AH149" s="87"/>
      <c r="AI149" s="87"/>
      <c r="AJ149" s="87"/>
      <c r="AK149" s="87"/>
      <c r="AL149" s="87">
        <f t="shared" ref="AL149:AW149" si="43">ROUND(AL72+AL76+AL124+AL148,5)</f>
        <v>11309.88</v>
      </c>
      <c r="AM149" s="87">
        <f t="shared" si="43"/>
        <v>16749.12</v>
      </c>
      <c r="AN149" s="87">
        <f t="shared" si="43"/>
        <v>12622.71</v>
      </c>
      <c r="AO149" s="87">
        <f t="shared" si="43"/>
        <v>11103.24</v>
      </c>
      <c r="AP149" s="87">
        <f t="shared" si="43"/>
        <v>11446.41</v>
      </c>
      <c r="AQ149" s="87">
        <f t="shared" si="43"/>
        <v>10453.459999999999</v>
      </c>
      <c r="AR149" s="87">
        <f t="shared" si="43"/>
        <v>11012.23</v>
      </c>
      <c r="AS149" s="87">
        <f t="shared" si="43"/>
        <v>6587.86</v>
      </c>
      <c r="AT149" s="87">
        <f t="shared" si="43"/>
        <v>12475.07</v>
      </c>
      <c r="AU149" s="87">
        <f t="shared" si="43"/>
        <v>10928.87</v>
      </c>
      <c r="AV149" s="87">
        <f t="shared" si="43"/>
        <v>12329.12</v>
      </c>
      <c r="AW149" s="87">
        <f t="shared" si="43"/>
        <v>11692.02</v>
      </c>
      <c r="AX149" s="87"/>
      <c r="AY149" s="88">
        <f t="shared" si="39"/>
        <v>138709.99</v>
      </c>
      <c r="AZ149" s="88">
        <f>ROUND(AZ72+AZ76+AZ124+AZ148,5)</f>
        <v>248400</v>
      </c>
      <c r="BA149" s="88">
        <f>ROUND(BA72+BA76+BA124+BA148,5)</f>
        <v>255150</v>
      </c>
      <c r="BB149" s="89"/>
    </row>
    <row r="150" spans="1:56" x14ac:dyDescent="0.3">
      <c r="A150" s="50"/>
      <c r="B150" s="50"/>
      <c r="C150" s="50"/>
      <c r="D150" s="50"/>
      <c r="E150" s="50" t="s">
        <v>177</v>
      </c>
      <c r="F150" s="50"/>
      <c r="G150" s="50"/>
      <c r="H150" s="51"/>
      <c r="I150" s="51"/>
      <c r="J150" s="51"/>
      <c r="K150" s="51"/>
      <c r="L150" s="51"/>
      <c r="M150" s="51"/>
      <c r="N150" s="51"/>
      <c r="O150" s="51"/>
      <c r="P150" s="51"/>
      <c r="Q150" s="51"/>
      <c r="R150" s="51"/>
      <c r="S150" s="51"/>
      <c r="T150" s="51"/>
      <c r="U150" s="51"/>
      <c r="V150" s="51"/>
      <c r="W150" s="51"/>
      <c r="AB150" s="86"/>
      <c r="AC150" s="86"/>
      <c r="AD150" s="86"/>
      <c r="AE150" s="86"/>
      <c r="AF150" s="86"/>
      <c r="AG150" s="86"/>
      <c r="AH150" s="87"/>
      <c r="AI150" s="87"/>
      <c r="AJ150" s="87"/>
      <c r="AK150" s="87"/>
      <c r="AL150" s="87"/>
      <c r="AM150" s="87"/>
      <c r="AN150" s="87"/>
      <c r="AO150" s="87"/>
      <c r="AP150" s="87"/>
      <c r="AQ150" s="87"/>
      <c r="AR150" s="87"/>
      <c r="AS150" s="87"/>
      <c r="AT150" s="87"/>
      <c r="AU150" s="87"/>
      <c r="AV150" s="87"/>
      <c r="AW150" s="87"/>
      <c r="AX150" s="87"/>
      <c r="AY150" s="88"/>
      <c r="AZ150" s="88"/>
      <c r="BA150" s="88"/>
      <c r="BB150" s="89"/>
    </row>
    <row r="151" spans="1:56" x14ac:dyDescent="0.3">
      <c r="A151" s="50"/>
      <c r="B151" s="50"/>
      <c r="C151" s="50"/>
      <c r="D151" s="50"/>
      <c r="E151" s="50"/>
      <c r="F151" s="50" t="s">
        <v>178</v>
      </c>
      <c r="G151" s="50"/>
      <c r="H151" s="51"/>
      <c r="I151" s="51"/>
      <c r="J151" s="51"/>
      <c r="K151" s="51"/>
      <c r="L151" s="51"/>
      <c r="M151" s="51"/>
      <c r="N151" s="51"/>
      <c r="O151" s="51"/>
      <c r="P151" s="51"/>
      <c r="Q151" s="51"/>
      <c r="R151" s="51"/>
      <c r="S151" s="51"/>
      <c r="T151" s="51"/>
      <c r="U151" s="51"/>
      <c r="V151" s="51"/>
      <c r="W151" s="51"/>
      <c r="AB151" s="86"/>
      <c r="AC151" s="86"/>
      <c r="AD151" s="86"/>
      <c r="AE151" s="86"/>
      <c r="AF151" s="86" t="s">
        <v>178</v>
      </c>
      <c r="AG151" s="86"/>
      <c r="AH151" s="87"/>
      <c r="AI151" s="87"/>
      <c r="AJ151" s="87"/>
      <c r="AK151" s="87"/>
      <c r="AL151" s="87"/>
      <c r="AM151" s="87"/>
      <c r="AN151" s="87"/>
      <c r="AO151" s="87"/>
      <c r="AP151" s="87"/>
      <c r="AQ151" s="87"/>
      <c r="AR151" s="87"/>
      <c r="AS151" s="87"/>
      <c r="AT151" s="87"/>
      <c r="AU151" s="87"/>
      <c r="AV151" s="87"/>
      <c r="AW151" s="87"/>
      <c r="AX151" s="87"/>
      <c r="AY151" s="88"/>
      <c r="AZ151" s="88"/>
      <c r="BA151" s="88"/>
      <c r="BB151" s="89"/>
    </row>
    <row r="152" spans="1:56" ht="22.2" thickBot="1" x14ac:dyDescent="0.35">
      <c r="A152" s="50"/>
      <c r="B152" s="50"/>
      <c r="C152" s="50"/>
      <c r="D152" s="50"/>
      <c r="E152" s="50"/>
      <c r="F152" s="50"/>
      <c r="G152" s="50" t="s">
        <v>179</v>
      </c>
      <c r="H152" s="52">
        <v>0</v>
      </c>
      <c r="I152" s="52">
        <v>0</v>
      </c>
      <c r="J152" s="52">
        <v>0</v>
      </c>
      <c r="K152" s="52">
        <v>0</v>
      </c>
      <c r="L152" s="52">
        <v>0</v>
      </c>
      <c r="M152" s="52">
        <v>0</v>
      </c>
      <c r="N152" s="52">
        <v>0</v>
      </c>
      <c r="O152" s="52">
        <v>0</v>
      </c>
      <c r="P152" s="52">
        <v>0</v>
      </c>
      <c r="Q152" s="52">
        <v>0</v>
      </c>
      <c r="R152" s="52">
        <v>0</v>
      </c>
      <c r="S152" s="52">
        <v>48942.34</v>
      </c>
      <c r="T152" s="52"/>
      <c r="U152" s="52">
        <f>ROUND(SUM(H152:T152),5)</f>
        <v>48942.34</v>
      </c>
      <c r="V152" s="52">
        <v>0</v>
      </c>
      <c r="W152" s="52">
        <v>0</v>
      </c>
      <c r="X152" s="68" t="s">
        <v>205</v>
      </c>
      <c r="AB152" s="86"/>
      <c r="AC152" s="86"/>
      <c r="AD152" s="86"/>
      <c r="AE152" s="86"/>
      <c r="AF152" s="86"/>
      <c r="AG152" s="86" t="s">
        <v>179</v>
      </c>
      <c r="AH152" s="90"/>
      <c r="AI152" s="90"/>
      <c r="AJ152" s="90"/>
      <c r="AK152" s="90"/>
      <c r="AL152" s="90">
        <v>0</v>
      </c>
      <c r="AM152" s="90">
        <v>0</v>
      </c>
      <c r="AN152" s="90">
        <v>0</v>
      </c>
      <c r="AO152" s="90">
        <v>0</v>
      </c>
      <c r="AP152" s="90">
        <v>0</v>
      </c>
      <c r="AQ152" s="90">
        <v>0</v>
      </c>
      <c r="AR152" s="90">
        <v>0</v>
      </c>
      <c r="AS152" s="90">
        <v>0</v>
      </c>
      <c r="AT152" s="90">
        <v>0</v>
      </c>
      <c r="AU152" s="90">
        <v>0</v>
      </c>
      <c r="AV152" s="90">
        <v>0</v>
      </c>
      <c r="AW152" s="90">
        <v>50812.91</v>
      </c>
      <c r="AX152" s="90"/>
      <c r="AY152" s="91">
        <f>ROUND(SUM(AH152:AX152),5)</f>
        <v>50812.91</v>
      </c>
      <c r="AZ152" s="91">
        <v>0</v>
      </c>
      <c r="BA152" s="91">
        <v>0</v>
      </c>
      <c r="BB152" s="92" t="s">
        <v>205</v>
      </c>
    </row>
    <row r="153" spans="1:56" x14ac:dyDescent="0.3">
      <c r="A153" s="50"/>
      <c r="B153" s="50"/>
      <c r="C153" s="50"/>
      <c r="D153" s="50"/>
      <c r="E153" s="50"/>
      <c r="F153" s="50" t="s">
        <v>180</v>
      </c>
      <c r="G153" s="50"/>
      <c r="H153" s="51">
        <f t="shared" ref="H153:P153" si="44">ROUND(SUM(H151:H152),5)</f>
        <v>0</v>
      </c>
      <c r="I153" s="51">
        <f t="shared" si="44"/>
        <v>0</v>
      </c>
      <c r="J153" s="51">
        <f t="shared" si="44"/>
        <v>0</v>
      </c>
      <c r="K153" s="51">
        <f t="shared" si="44"/>
        <v>0</v>
      </c>
      <c r="L153" s="51">
        <f t="shared" si="44"/>
        <v>0</v>
      </c>
      <c r="M153" s="51">
        <f t="shared" si="44"/>
        <v>0</v>
      </c>
      <c r="N153" s="51">
        <f t="shared" si="44"/>
        <v>0</v>
      </c>
      <c r="O153" s="51">
        <f t="shared" si="44"/>
        <v>0</v>
      </c>
      <c r="P153" s="51">
        <f t="shared" si="44"/>
        <v>0</v>
      </c>
      <c r="Q153" s="51">
        <f>ROUND(SUM(Q151:Q152),5)</f>
        <v>0</v>
      </c>
      <c r="R153" s="51">
        <f>ROUND(SUM(R151:R152),5)</f>
        <v>0</v>
      </c>
      <c r="S153" s="51">
        <f>ROUND(SUM(S151:S152),5)</f>
        <v>48942.34</v>
      </c>
      <c r="T153" s="51"/>
      <c r="U153" s="51">
        <f>ROUND(SUM(H153:T153),5)</f>
        <v>48942.34</v>
      </c>
      <c r="V153" s="51">
        <f>ROUND(SUM(V151:V152),5)</f>
        <v>0</v>
      </c>
      <c r="W153" s="51">
        <f>ROUND(SUM(W151:W152),5)</f>
        <v>0</v>
      </c>
      <c r="AB153" s="86"/>
      <c r="AC153" s="86"/>
      <c r="AD153" s="86"/>
      <c r="AE153" s="86"/>
      <c r="AF153" s="86" t="s">
        <v>180</v>
      </c>
      <c r="AG153" s="86"/>
      <c r="AH153" s="87"/>
      <c r="AI153" s="87"/>
      <c r="AJ153" s="87"/>
      <c r="AK153" s="87"/>
      <c r="AL153" s="87">
        <f t="shared" ref="AL153:AW153" si="45">ROUND(SUM(AL151:AL152),5)</f>
        <v>0</v>
      </c>
      <c r="AM153" s="87">
        <f t="shared" si="45"/>
        <v>0</v>
      </c>
      <c r="AN153" s="87">
        <f t="shared" si="45"/>
        <v>0</v>
      </c>
      <c r="AO153" s="87">
        <f t="shared" si="45"/>
        <v>0</v>
      </c>
      <c r="AP153" s="87">
        <f t="shared" si="45"/>
        <v>0</v>
      </c>
      <c r="AQ153" s="87">
        <f t="shared" si="45"/>
        <v>0</v>
      </c>
      <c r="AR153" s="87">
        <f t="shared" si="45"/>
        <v>0</v>
      </c>
      <c r="AS153" s="87">
        <f t="shared" si="45"/>
        <v>0</v>
      </c>
      <c r="AT153" s="87">
        <f t="shared" si="45"/>
        <v>0</v>
      </c>
      <c r="AU153" s="87">
        <f t="shared" si="45"/>
        <v>0</v>
      </c>
      <c r="AV153" s="87">
        <f t="shared" si="45"/>
        <v>0</v>
      </c>
      <c r="AW153" s="87">
        <f t="shared" si="45"/>
        <v>50812.91</v>
      </c>
      <c r="AX153" s="87"/>
      <c r="AY153" s="88">
        <f>ROUND(SUM(AH153:AX153),5)</f>
        <v>50812.91</v>
      </c>
      <c r="AZ153" s="88">
        <f>ROUND(SUM(AZ151:AZ152),5)</f>
        <v>0</v>
      </c>
      <c r="BA153" s="88">
        <f>ROUND(SUM(BA151:BA152),5)</f>
        <v>0</v>
      </c>
      <c r="BB153" s="89"/>
    </row>
    <row r="154" spans="1:56" ht="15" thickBot="1" x14ac:dyDescent="0.35">
      <c r="A154" s="50"/>
      <c r="B154" s="50"/>
      <c r="C154" s="50"/>
      <c r="D154" s="50"/>
      <c r="E154" s="50"/>
      <c r="F154" s="50" t="s">
        <v>181</v>
      </c>
      <c r="G154" s="50"/>
      <c r="H154" s="52">
        <v>342.65</v>
      </c>
      <c r="I154" s="52">
        <v>153.12</v>
      </c>
      <c r="J154" s="52">
        <v>0</v>
      </c>
      <c r="K154" s="52">
        <v>299.86</v>
      </c>
      <c r="L154" s="52">
        <v>306.24</v>
      </c>
      <c r="M154" s="52">
        <v>542.07000000000005</v>
      </c>
      <c r="N154" s="52">
        <v>-96.88</v>
      </c>
      <c r="O154" s="52">
        <v>0</v>
      </c>
      <c r="P154" s="52">
        <v>243.32</v>
      </c>
      <c r="Q154" s="52">
        <v>606.1</v>
      </c>
      <c r="R154" s="52">
        <v>-5</v>
      </c>
      <c r="S154" s="52">
        <v>400</v>
      </c>
      <c r="T154" s="52"/>
      <c r="U154" s="52">
        <f>ROUND(SUM(H154:T154),5)</f>
        <v>2791.48</v>
      </c>
      <c r="V154" s="52">
        <v>4000</v>
      </c>
      <c r="W154" s="52">
        <v>4000</v>
      </c>
      <c r="AA154" s="56"/>
      <c r="AB154" s="86"/>
      <c r="AC154" s="86"/>
      <c r="AD154" s="86"/>
      <c r="AE154" s="86" t="s">
        <v>182</v>
      </c>
      <c r="AF154" s="86" t="s">
        <v>181</v>
      </c>
      <c r="AG154" s="86"/>
      <c r="AH154" s="90"/>
      <c r="AI154" s="90"/>
      <c r="AJ154" s="90"/>
      <c r="AK154" s="90"/>
      <c r="AL154" s="90">
        <v>298.70999999999998</v>
      </c>
      <c r="AM154" s="90">
        <v>172.26</v>
      </c>
      <c r="AN154" s="90">
        <v>191.39</v>
      </c>
      <c r="AO154" s="90">
        <v>0</v>
      </c>
      <c r="AP154" s="90">
        <v>0</v>
      </c>
      <c r="AQ154" s="90">
        <v>689.18</v>
      </c>
      <c r="AR154" s="90">
        <v>484.71</v>
      </c>
      <c r="AS154" s="90">
        <v>0</v>
      </c>
      <c r="AT154" s="90">
        <v>357.28</v>
      </c>
      <c r="AU154" s="90">
        <v>185.02</v>
      </c>
      <c r="AV154" s="90">
        <v>241.33</v>
      </c>
      <c r="AW154" s="90">
        <v>416.65</v>
      </c>
      <c r="AX154" s="90"/>
      <c r="AY154" s="91">
        <f>ROUND(SUM(AH154:AX154),5)</f>
        <v>3036.53</v>
      </c>
      <c r="AZ154" s="91">
        <v>4000</v>
      </c>
      <c r="BA154" s="91">
        <v>4000</v>
      </c>
      <c r="BB154" s="92"/>
    </row>
    <row r="155" spans="1:56" x14ac:dyDescent="0.3">
      <c r="A155" s="50"/>
      <c r="B155" s="50"/>
      <c r="C155" s="50"/>
      <c r="D155" s="50"/>
      <c r="E155" s="50" t="s">
        <v>182</v>
      </c>
      <c r="F155" s="50"/>
      <c r="G155" s="50"/>
      <c r="H155" s="51">
        <f t="shared" ref="H155:P155" si="46">ROUND(H150+SUM(H153:H154),5)</f>
        <v>342.65</v>
      </c>
      <c r="I155" s="51">
        <f t="shared" si="46"/>
        <v>153.12</v>
      </c>
      <c r="J155" s="51">
        <f t="shared" si="46"/>
        <v>0</v>
      </c>
      <c r="K155" s="51">
        <f t="shared" si="46"/>
        <v>299.86</v>
      </c>
      <c r="L155" s="51">
        <f t="shared" si="46"/>
        <v>306.24</v>
      </c>
      <c r="M155" s="51">
        <f t="shared" si="46"/>
        <v>542.07000000000005</v>
      </c>
      <c r="N155" s="51">
        <f t="shared" si="46"/>
        <v>-96.88</v>
      </c>
      <c r="O155" s="51">
        <f t="shared" si="46"/>
        <v>0</v>
      </c>
      <c r="P155" s="51">
        <f t="shared" si="46"/>
        <v>243.32</v>
      </c>
      <c r="Q155" s="51">
        <f>ROUND(Q150+SUM(Q153:Q154),5)</f>
        <v>606.1</v>
      </c>
      <c r="R155" s="51">
        <f>ROUND(R150+SUM(R153:R154),5)</f>
        <v>-5</v>
      </c>
      <c r="S155" s="51">
        <f>ROUND(S150+SUM(S153:S154),5)</f>
        <v>49342.34</v>
      </c>
      <c r="T155" s="51"/>
      <c r="U155" s="51">
        <f>ROUND(SUM(H155:T155),5)</f>
        <v>51733.82</v>
      </c>
      <c r="V155" s="51">
        <f>ROUND(V150+SUM(V153:V154),5)</f>
        <v>4000</v>
      </c>
      <c r="W155" s="51">
        <f>ROUND(W150+SUM(W153:W154),5)</f>
        <v>4000</v>
      </c>
      <c r="AB155" s="86"/>
      <c r="AC155" s="86"/>
      <c r="AD155" s="86"/>
      <c r="AE155" s="86" t="s">
        <v>183</v>
      </c>
      <c r="AF155" s="86"/>
      <c r="AG155" s="86"/>
      <c r="AH155" s="87"/>
      <c r="AI155" s="87"/>
      <c r="AJ155" s="87"/>
      <c r="AK155" s="87"/>
      <c r="AL155" s="87">
        <f t="shared" ref="AL155:AW155" si="47">ROUND(AL150+SUM(AL153:AL154),5)</f>
        <v>298.70999999999998</v>
      </c>
      <c r="AM155" s="87">
        <f t="shared" si="47"/>
        <v>172.26</v>
      </c>
      <c r="AN155" s="87">
        <f t="shared" si="47"/>
        <v>191.39</v>
      </c>
      <c r="AO155" s="87">
        <f t="shared" si="47"/>
        <v>0</v>
      </c>
      <c r="AP155" s="87">
        <f t="shared" si="47"/>
        <v>0</v>
      </c>
      <c r="AQ155" s="87">
        <f t="shared" si="47"/>
        <v>689.18</v>
      </c>
      <c r="AR155" s="87">
        <f t="shared" si="47"/>
        <v>484.71</v>
      </c>
      <c r="AS155" s="87">
        <f t="shared" si="47"/>
        <v>0</v>
      </c>
      <c r="AT155" s="87">
        <f t="shared" si="47"/>
        <v>357.28</v>
      </c>
      <c r="AU155" s="87">
        <f t="shared" si="47"/>
        <v>185.02</v>
      </c>
      <c r="AV155" s="87">
        <f t="shared" si="47"/>
        <v>241.33</v>
      </c>
      <c r="AW155" s="87">
        <f t="shared" si="47"/>
        <v>51229.56</v>
      </c>
      <c r="AX155" s="87"/>
      <c r="AY155" s="88">
        <f>ROUND(SUM(AH155:AX155),5)</f>
        <v>53849.440000000002</v>
      </c>
      <c r="AZ155" s="88">
        <f>ROUND(AZ150+SUM(AZ153:AZ154),5)</f>
        <v>4000</v>
      </c>
      <c r="BA155" s="88">
        <f>ROUND(BA150+SUM(BA153:BA154),5)</f>
        <v>4000</v>
      </c>
      <c r="BB155" s="89"/>
      <c r="BC155" s="56"/>
    </row>
    <row r="156" spans="1:56" x14ac:dyDescent="0.3">
      <c r="A156" s="50"/>
      <c r="B156" s="50"/>
      <c r="C156" s="50"/>
      <c r="D156" s="50"/>
      <c r="E156" s="50" t="s">
        <v>183</v>
      </c>
      <c r="F156" s="50"/>
      <c r="G156" s="50"/>
      <c r="H156" s="51"/>
      <c r="I156" s="51"/>
      <c r="J156" s="51"/>
      <c r="K156" s="51"/>
      <c r="L156" s="51"/>
      <c r="M156" s="51"/>
      <c r="N156" s="51"/>
      <c r="O156" s="51"/>
      <c r="P156" s="51"/>
      <c r="Q156" s="51"/>
      <c r="R156" s="51"/>
      <c r="S156" s="51"/>
      <c r="T156" s="51"/>
      <c r="U156" s="51"/>
      <c r="V156" s="51"/>
      <c r="W156" s="51"/>
      <c r="AB156" s="86"/>
      <c r="AC156" s="86"/>
      <c r="AD156" s="86"/>
      <c r="AE156" s="86"/>
      <c r="AF156" s="86"/>
      <c r="AG156" s="86"/>
      <c r="AH156" s="87"/>
      <c r="AI156" s="87"/>
      <c r="AJ156" s="87"/>
      <c r="AK156" s="87"/>
      <c r="AL156" s="87"/>
      <c r="AM156" s="87"/>
      <c r="AN156" s="87"/>
      <c r="AO156" s="87"/>
      <c r="AP156" s="87"/>
      <c r="AQ156" s="87"/>
      <c r="AR156" s="87"/>
      <c r="AS156" s="87"/>
      <c r="AT156" s="87"/>
      <c r="AU156" s="87"/>
      <c r="AV156" s="87"/>
      <c r="AW156" s="87"/>
      <c r="AX156" s="87"/>
      <c r="AY156" s="88"/>
      <c r="AZ156" s="88"/>
      <c r="BA156" s="88"/>
      <c r="BB156" s="89"/>
      <c r="BD156" s="56"/>
    </row>
    <row r="157" spans="1:56" x14ac:dyDescent="0.3">
      <c r="A157" s="50"/>
      <c r="B157" s="50"/>
      <c r="C157" s="50"/>
      <c r="D157" s="50"/>
      <c r="E157" s="50"/>
      <c r="F157" s="50" t="s">
        <v>184</v>
      </c>
      <c r="G157" s="50"/>
      <c r="H157" s="51"/>
      <c r="I157" s="51"/>
      <c r="J157" s="51"/>
      <c r="K157" s="51"/>
      <c r="L157" s="51"/>
      <c r="M157" s="51"/>
      <c r="N157" s="51"/>
      <c r="O157" s="51"/>
      <c r="P157" s="51"/>
      <c r="Q157" s="51"/>
      <c r="R157" s="51"/>
      <c r="S157" s="51"/>
      <c r="T157" s="51"/>
      <c r="U157" s="51"/>
      <c r="V157" s="51"/>
      <c r="W157" s="51"/>
      <c r="AB157" s="86"/>
      <c r="AC157" s="86"/>
      <c r="AD157" s="86"/>
      <c r="AE157" s="86"/>
      <c r="AF157" s="86" t="s">
        <v>184</v>
      </c>
      <c r="AG157" s="86"/>
      <c r="AH157" s="87"/>
      <c r="AI157" s="87"/>
      <c r="AJ157" s="87"/>
      <c r="AK157" s="87"/>
      <c r="AL157" s="87"/>
      <c r="AM157" s="87"/>
      <c r="AN157" s="87"/>
      <c r="AO157" s="87"/>
      <c r="AP157" s="87"/>
      <c r="AQ157" s="87"/>
      <c r="AR157" s="87"/>
      <c r="AS157" s="87"/>
      <c r="AT157" s="87"/>
      <c r="AU157" s="87"/>
      <c r="AV157" s="87"/>
      <c r="AW157" s="87"/>
      <c r="AX157" s="87"/>
      <c r="AY157" s="88"/>
      <c r="AZ157" s="88"/>
      <c r="BA157" s="88"/>
      <c r="BB157" s="89"/>
    </row>
    <row r="158" spans="1:56" x14ac:dyDescent="0.3">
      <c r="A158" s="50"/>
      <c r="B158" s="50"/>
      <c r="C158" s="50"/>
      <c r="D158" s="50"/>
      <c r="E158" s="50"/>
      <c r="F158" s="50"/>
      <c r="G158" s="50" t="s">
        <v>201</v>
      </c>
      <c r="H158" s="51">
        <v>0</v>
      </c>
      <c r="I158" s="51">
        <v>0</v>
      </c>
      <c r="J158" s="51">
        <v>0</v>
      </c>
      <c r="K158" s="51">
        <v>0</v>
      </c>
      <c r="L158" s="51">
        <v>0</v>
      </c>
      <c r="M158" s="51">
        <v>0</v>
      </c>
      <c r="N158" s="51">
        <v>0</v>
      </c>
      <c r="O158" s="51">
        <v>0</v>
      </c>
      <c r="P158" s="51">
        <v>0</v>
      </c>
      <c r="Q158" s="51">
        <v>0</v>
      </c>
      <c r="R158" s="51">
        <v>0</v>
      </c>
      <c r="S158" s="51">
        <v>0</v>
      </c>
      <c r="T158" s="51"/>
      <c r="U158" s="51">
        <v>0</v>
      </c>
      <c r="V158" s="67">
        <v>100000</v>
      </c>
      <c r="W158" s="67">
        <v>100000</v>
      </c>
      <c r="AB158" s="86"/>
      <c r="AC158" s="86"/>
      <c r="AD158" s="86"/>
      <c r="AE158" s="86"/>
      <c r="AF158" s="86"/>
      <c r="AG158" s="86" t="s">
        <v>201</v>
      </c>
      <c r="AH158" s="87"/>
      <c r="AI158" s="87"/>
      <c r="AJ158" s="87"/>
      <c r="AK158" s="87"/>
      <c r="AL158" s="87">
        <v>0</v>
      </c>
      <c r="AM158" s="87">
        <v>0</v>
      </c>
      <c r="AN158" s="87">
        <v>0</v>
      </c>
      <c r="AO158" s="87">
        <v>0</v>
      </c>
      <c r="AP158" s="87">
        <v>0</v>
      </c>
      <c r="AQ158" s="87">
        <v>0</v>
      </c>
      <c r="AR158" s="87">
        <v>0</v>
      </c>
      <c r="AS158" s="87">
        <v>0</v>
      </c>
      <c r="AT158" s="87">
        <v>0</v>
      </c>
      <c r="AU158" s="87">
        <v>0</v>
      </c>
      <c r="AV158" s="87">
        <v>0</v>
      </c>
      <c r="AW158" s="87">
        <v>0</v>
      </c>
      <c r="AX158" s="87"/>
      <c r="AY158" s="88">
        <f>ROUND(SUM(AH158:AX158),5)</f>
        <v>0</v>
      </c>
      <c r="AZ158" s="88">
        <v>100000</v>
      </c>
      <c r="BA158" s="88">
        <v>100000</v>
      </c>
      <c r="BB158" s="89"/>
    </row>
    <row r="159" spans="1:56" x14ac:dyDescent="0.3">
      <c r="A159" s="50"/>
      <c r="B159" s="50"/>
      <c r="C159" s="50"/>
      <c r="D159" s="50"/>
      <c r="E159" s="50"/>
      <c r="F159" s="50"/>
      <c r="G159" s="50" t="s">
        <v>202</v>
      </c>
      <c r="H159" s="51">
        <v>0</v>
      </c>
      <c r="I159" s="51">
        <v>0</v>
      </c>
      <c r="J159" s="51">
        <v>0</v>
      </c>
      <c r="K159" s="51">
        <v>0</v>
      </c>
      <c r="L159" s="51">
        <v>0</v>
      </c>
      <c r="M159" s="51">
        <v>0</v>
      </c>
      <c r="N159" s="51">
        <v>0</v>
      </c>
      <c r="O159" s="51">
        <v>1900</v>
      </c>
      <c r="P159" s="51">
        <v>0</v>
      </c>
      <c r="Q159" s="51">
        <v>0</v>
      </c>
      <c r="R159" s="51">
        <v>0</v>
      </c>
      <c r="S159" s="51">
        <v>0</v>
      </c>
      <c r="T159" s="51"/>
      <c r="U159" s="51">
        <f>ROUND(SUM(H159:T159),5)</f>
        <v>1900</v>
      </c>
      <c r="V159" s="67">
        <v>6000</v>
      </c>
      <c r="W159" s="67">
        <v>6000</v>
      </c>
      <c r="AB159" s="86"/>
      <c r="AC159" s="86"/>
      <c r="AD159" s="86"/>
      <c r="AE159" s="86"/>
      <c r="AF159" s="86"/>
      <c r="AG159" s="86" t="s">
        <v>202</v>
      </c>
      <c r="AH159" s="87"/>
      <c r="AI159" s="87"/>
      <c r="AJ159" s="87"/>
      <c r="AK159" s="87"/>
      <c r="AL159" s="87">
        <v>0</v>
      </c>
      <c r="AM159" s="87">
        <v>0</v>
      </c>
      <c r="AN159" s="87">
        <v>0</v>
      </c>
      <c r="AO159" s="87">
        <v>0</v>
      </c>
      <c r="AP159" s="87">
        <v>0</v>
      </c>
      <c r="AQ159" s="87">
        <v>0</v>
      </c>
      <c r="AR159" s="87">
        <v>0</v>
      </c>
      <c r="AS159" s="87">
        <v>0</v>
      </c>
      <c r="AT159" s="87">
        <v>0</v>
      </c>
      <c r="AU159" s="87">
        <v>0</v>
      </c>
      <c r="AV159" s="87">
        <v>0</v>
      </c>
      <c r="AW159" s="87">
        <v>0</v>
      </c>
      <c r="AX159" s="87"/>
      <c r="AY159" s="88">
        <f>ROUND(SUM(AH159:AX159),5)</f>
        <v>0</v>
      </c>
      <c r="AZ159" s="88">
        <v>6000</v>
      </c>
      <c r="BA159" s="88">
        <v>6000</v>
      </c>
      <c r="BB159" s="89"/>
    </row>
    <row r="160" spans="1:56" x14ac:dyDescent="0.3">
      <c r="A160" s="50"/>
      <c r="B160" s="50"/>
      <c r="C160" s="50"/>
      <c r="D160" s="50"/>
      <c r="E160" s="50"/>
      <c r="F160" s="50"/>
      <c r="G160" s="50" t="s">
        <v>185</v>
      </c>
      <c r="H160" s="51">
        <v>0</v>
      </c>
      <c r="I160" s="51">
        <v>0</v>
      </c>
      <c r="J160" s="51">
        <v>0</v>
      </c>
      <c r="K160" s="51">
        <v>0</v>
      </c>
      <c r="L160" s="51">
        <v>0</v>
      </c>
      <c r="M160" s="51">
        <v>0</v>
      </c>
      <c r="N160" s="51">
        <v>0</v>
      </c>
      <c r="O160" s="51">
        <v>0</v>
      </c>
      <c r="P160" s="51">
        <v>0</v>
      </c>
      <c r="Q160" s="51">
        <v>0</v>
      </c>
      <c r="R160" s="51">
        <v>0</v>
      </c>
      <c r="S160" s="51">
        <v>0</v>
      </c>
      <c r="T160" s="51"/>
      <c r="U160" s="51">
        <v>0</v>
      </c>
      <c r="V160" s="67">
        <v>7500</v>
      </c>
      <c r="W160" s="67">
        <v>7500</v>
      </c>
      <c r="AB160" s="86"/>
      <c r="AC160" s="86"/>
      <c r="AD160" s="86"/>
      <c r="AE160" s="86"/>
      <c r="AF160" s="86"/>
      <c r="AG160" s="86" t="s">
        <v>185</v>
      </c>
      <c r="AH160" s="87"/>
      <c r="AI160" s="87"/>
      <c r="AJ160" s="87"/>
      <c r="AK160" s="87"/>
      <c r="AL160" s="87">
        <v>0</v>
      </c>
      <c r="AM160" s="87">
        <v>0</v>
      </c>
      <c r="AN160" s="87">
        <v>0</v>
      </c>
      <c r="AO160" s="87">
        <v>0</v>
      </c>
      <c r="AP160" s="87">
        <v>0</v>
      </c>
      <c r="AQ160" s="87">
        <v>0</v>
      </c>
      <c r="AR160" s="87">
        <v>0</v>
      </c>
      <c r="AS160" s="87">
        <v>0</v>
      </c>
      <c r="AT160" s="87">
        <v>0</v>
      </c>
      <c r="AU160" s="87">
        <v>0</v>
      </c>
      <c r="AV160" s="87">
        <v>0</v>
      </c>
      <c r="AW160" s="87">
        <v>0</v>
      </c>
      <c r="AX160" s="87"/>
      <c r="AY160" s="88">
        <f>ROUND(SUM(AH160:AX160),5)</f>
        <v>0</v>
      </c>
      <c r="AZ160" s="88">
        <v>7500</v>
      </c>
      <c r="BA160" s="88">
        <v>7500</v>
      </c>
      <c r="BB160" s="89"/>
    </row>
    <row r="161" spans="1:56" ht="15" thickBot="1" x14ac:dyDescent="0.35">
      <c r="A161" s="50"/>
      <c r="B161" s="50"/>
      <c r="C161" s="50"/>
      <c r="D161" s="50"/>
      <c r="E161" s="50"/>
      <c r="F161" s="50"/>
      <c r="G161" s="50" t="s">
        <v>239</v>
      </c>
      <c r="H161" s="51">
        <v>0</v>
      </c>
      <c r="I161" s="51">
        <v>0</v>
      </c>
      <c r="J161" s="51">
        <v>0</v>
      </c>
      <c r="K161" s="51">
        <v>0</v>
      </c>
      <c r="L161" s="51">
        <v>0</v>
      </c>
      <c r="M161" s="51">
        <v>0</v>
      </c>
      <c r="N161" s="51">
        <v>0</v>
      </c>
      <c r="O161" s="51">
        <v>0</v>
      </c>
      <c r="P161" s="51">
        <v>0</v>
      </c>
      <c r="Q161" s="51">
        <v>0</v>
      </c>
      <c r="R161" s="51">
        <v>0</v>
      </c>
      <c r="S161" s="51">
        <v>0</v>
      </c>
      <c r="T161" s="51"/>
      <c r="U161" s="51">
        <v>0</v>
      </c>
      <c r="V161" s="67">
        <v>6000</v>
      </c>
      <c r="W161" s="67">
        <v>6000</v>
      </c>
      <c r="AB161" s="86"/>
      <c r="AC161" s="86"/>
      <c r="AD161" s="86"/>
      <c r="AE161" s="86"/>
      <c r="AF161" s="86"/>
      <c r="AG161" s="86" t="s">
        <v>239</v>
      </c>
      <c r="AH161" s="87"/>
      <c r="AI161" s="87"/>
      <c r="AJ161" s="87"/>
      <c r="AK161" s="87"/>
      <c r="AL161" s="87">
        <v>0</v>
      </c>
      <c r="AM161" s="87">
        <v>0</v>
      </c>
      <c r="AN161" s="87">
        <v>0</v>
      </c>
      <c r="AO161" s="87">
        <v>0</v>
      </c>
      <c r="AP161" s="87">
        <v>0</v>
      </c>
      <c r="AQ161" s="87">
        <v>0</v>
      </c>
      <c r="AR161" s="87">
        <v>0</v>
      </c>
      <c r="AS161" s="87">
        <v>0</v>
      </c>
      <c r="AT161" s="87">
        <v>0</v>
      </c>
      <c r="AU161" s="87">
        <v>0</v>
      </c>
      <c r="AV161" s="87">
        <v>0</v>
      </c>
      <c r="AW161" s="87">
        <v>0</v>
      </c>
      <c r="AX161" s="87"/>
      <c r="AY161" s="88">
        <f>ROUND(SUM(AH161:AX161),5)</f>
        <v>0</v>
      </c>
      <c r="AZ161" s="88">
        <v>6000</v>
      </c>
      <c r="BA161" s="88">
        <v>6000</v>
      </c>
      <c r="BB161" s="89"/>
    </row>
    <row r="162" spans="1:56" ht="15" thickBot="1" x14ac:dyDescent="0.35">
      <c r="A162" s="50"/>
      <c r="B162" s="50"/>
      <c r="C162" s="50"/>
      <c r="D162" s="50"/>
      <c r="E162" s="50"/>
      <c r="F162" s="50" t="s">
        <v>186</v>
      </c>
      <c r="G162" s="50"/>
      <c r="H162" s="53">
        <f t="shared" ref="H162:S162" si="48">ROUND(SUM(H157:H159),5)</f>
        <v>0</v>
      </c>
      <c r="I162" s="53">
        <f t="shared" si="48"/>
        <v>0</v>
      </c>
      <c r="J162" s="53">
        <f t="shared" si="48"/>
        <v>0</v>
      </c>
      <c r="K162" s="53">
        <f t="shared" si="48"/>
        <v>0</v>
      </c>
      <c r="L162" s="53">
        <f t="shared" si="48"/>
        <v>0</v>
      </c>
      <c r="M162" s="53">
        <f t="shared" si="48"/>
        <v>0</v>
      </c>
      <c r="N162" s="53">
        <f t="shared" si="48"/>
        <v>0</v>
      </c>
      <c r="O162" s="53">
        <f t="shared" si="48"/>
        <v>1900</v>
      </c>
      <c r="P162" s="53">
        <f t="shared" si="48"/>
        <v>0</v>
      </c>
      <c r="Q162" s="53">
        <f t="shared" si="48"/>
        <v>0</v>
      </c>
      <c r="R162" s="53">
        <f t="shared" si="48"/>
        <v>0</v>
      </c>
      <c r="S162" s="53">
        <f t="shared" si="48"/>
        <v>0</v>
      </c>
      <c r="T162" s="53"/>
      <c r="U162" s="53">
        <f>ROUND(SUM(H162:T162),5)</f>
        <v>1900</v>
      </c>
      <c r="V162" s="53">
        <f>ROUND(SUM(V157:V161),5)</f>
        <v>119500</v>
      </c>
      <c r="W162" s="53">
        <f>ROUND(SUM(W157:W161),5)</f>
        <v>119500</v>
      </c>
      <c r="AB162" s="86"/>
      <c r="AC162" s="86"/>
      <c r="AD162" s="86"/>
      <c r="AE162" s="86"/>
      <c r="AF162" s="86" t="s">
        <v>186</v>
      </c>
      <c r="AG162" s="86"/>
      <c r="AH162" s="93"/>
      <c r="AI162" s="93"/>
      <c r="AJ162" s="93"/>
      <c r="AK162" s="93"/>
      <c r="AL162" s="93">
        <f t="shared" ref="AL162:AW162" si="49">ROUND(SUM(AL157:AL161),5)</f>
        <v>0</v>
      </c>
      <c r="AM162" s="93">
        <f t="shared" si="49"/>
        <v>0</v>
      </c>
      <c r="AN162" s="93">
        <f t="shared" si="49"/>
        <v>0</v>
      </c>
      <c r="AO162" s="93">
        <f t="shared" si="49"/>
        <v>0</v>
      </c>
      <c r="AP162" s="93">
        <f t="shared" si="49"/>
        <v>0</v>
      </c>
      <c r="AQ162" s="93">
        <f t="shared" si="49"/>
        <v>0</v>
      </c>
      <c r="AR162" s="93">
        <f t="shared" si="49"/>
        <v>0</v>
      </c>
      <c r="AS162" s="93">
        <f t="shared" si="49"/>
        <v>0</v>
      </c>
      <c r="AT162" s="93">
        <f t="shared" si="49"/>
        <v>0</v>
      </c>
      <c r="AU162" s="93">
        <f t="shared" si="49"/>
        <v>0</v>
      </c>
      <c r="AV162" s="93">
        <f t="shared" si="49"/>
        <v>0</v>
      </c>
      <c r="AW162" s="93">
        <f t="shared" si="49"/>
        <v>0</v>
      </c>
      <c r="AX162" s="93"/>
      <c r="AY162" s="94">
        <f>ROUND(SUM(AH162:AX162),5)</f>
        <v>0</v>
      </c>
      <c r="AZ162" s="94">
        <f>ROUND(SUM(AZ157:AZ161),5)</f>
        <v>119500</v>
      </c>
      <c r="BA162" s="94">
        <f>ROUND(SUM(BA157:BA161),5)</f>
        <v>119500</v>
      </c>
      <c r="BB162" s="95"/>
    </row>
    <row r="163" spans="1:56" x14ac:dyDescent="0.3">
      <c r="A163" s="50"/>
      <c r="B163" s="50"/>
      <c r="C163" s="50"/>
      <c r="D163" s="50"/>
      <c r="E163" s="50"/>
      <c r="F163" s="50" t="s">
        <v>187</v>
      </c>
      <c r="G163" s="50"/>
      <c r="H163" s="51"/>
      <c r="I163" s="51"/>
      <c r="J163" s="51"/>
      <c r="K163" s="51"/>
      <c r="L163" s="51"/>
      <c r="M163" s="51"/>
      <c r="N163" s="51"/>
      <c r="O163" s="51"/>
      <c r="P163" s="51"/>
      <c r="Q163" s="51"/>
      <c r="R163" s="51"/>
      <c r="S163" s="51"/>
      <c r="T163" s="51"/>
      <c r="U163" s="51"/>
      <c r="V163" s="51"/>
      <c r="W163" s="51"/>
      <c r="AB163" s="86"/>
      <c r="AC163" s="86"/>
      <c r="AD163" s="86"/>
      <c r="AE163" s="86"/>
      <c r="AF163" s="86" t="s">
        <v>187</v>
      </c>
      <c r="AG163" s="86"/>
      <c r="AH163" s="87"/>
      <c r="AI163" s="87"/>
      <c r="AJ163" s="87"/>
      <c r="AK163" s="87"/>
      <c r="AL163" s="87"/>
      <c r="AM163" s="87"/>
      <c r="AN163" s="87"/>
      <c r="AO163" s="87"/>
      <c r="AP163" s="87"/>
      <c r="AQ163" s="87"/>
      <c r="AR163" s="87"/>
      <c r="AS163" s="87"/>
      <c r="AT163" s="87"/>
      <c r="AU163" s="87"/>
      <c r="AV163" s="87"/>
      <c r="AW163" s="87"/>
      <c r="AX163" s="87"/>
      <c r="AY163" s="88"/>
      <c r="AZ163" s="88"/>
      <c r="BA163" s="88"/>
      <c r="BB163" s="89"/>
    </row>
    <row r="164" spans="1:56" ht="15" thickBot="1" x14ac:dyDescent="0.35">
      <c r="A164" s="50"/>
      <c r="B164" s="50"/>
      <c r="C164" s="50"/>
      <c r="D164" s="50"/>
      <c r="E164" s="50"/>
      <c r="F164" s="50"/>
      <c r="G164" s="50" t="s">
        <v>188</v>
      </c>
      <c r="H164" s="52">
        <v>6935</v>
      </c>
      <c r="I164" s="52">
        <v>1357</v>
      </c>
      <c r="J164" s="52">
        <v>0</v>
      </c>
      <c r="K164" s="52">
        <v>0</v>
      </c>
      <c r="L164" s="52">
        <v>0</v>
      </c>
      <c r="M164" s="52">
        <v>0</v>
      </c>
      <c r="N164" s="52">
        <v>0</v>
      </c>
      <c r="O164" s="52">
        <v>0</v>
      </c>
      <c r="P164" s="52">
        <v>355787.84</v>
      </c>
      <c r="Q164" s="52">
        <v>9486.81</v>
      </c>
      <c r="R164" s="52">
        <v>261853.25</v>
      </c>
      <c r="S164" s="52">
        <v>350000</v>
      </c>
      <c r="T164" s="52"/>
      <c r="U164" s="52">
        <f>ROUND(SUM(H164:T164),5)</f>
        <v>985419.9</v>
      </c>
      <c r="V164" s="52">
        <v>150000</v>
      </c>
      <c r="W164" s="114">
        <v>1600000</v>
      </c>
      <c r="X164" s="68" t="s">
        <v>298</v>
      </c>
      <c r="AB164" s="86"/>
      <c r="AC164" s="86"/>
      <c r="AD164" s="86"/>
      <c r="AE164" s="86"/>
      <c r="AF164" s="86"/>
      <c r="AG164" s="86" t="s">
        <v>188</v>
      </c>
      <c r="AH164" s="90"/>
      <c r="AI164" s="90"/>
      <c r="AJ164" s="90"/>
      <c r="AK164" s="90"/>
      <c r="AL164" s="90">
        <v>0</v>
      </c>
      <c r="AM164" s="90">
        <v>0</v>
      </c>
      <c r="AN164" s="90">
        <v>5379.38</v>
      </c>
      <c r="AO164" s="90">
        <v>0</v>
      </c>
      <c r="AP164" s="90">
        <v>0</v>
      </c>
      <c r="AQ164" s="90">
        <v>0</v>
      </c>
      <c r="AR164" s="90">
        <v>0</v>
      </c>
      <c r="AS164" s="90">
        <v>0</v>
      </c>
      <c r="AT164" s="90">
        <v>0</v>
      </c>
      <c r="AU164" s="90">
        <v>0</v>
      </c>
      <c r="AV164" s="90">
        <v>0</v>
      </c>
      <c r="AW164" s="90">
        <v>0</v>
      </c>
      <c r="AX164" s="90"/>
      <c r="AY164" s="91">
        <f>ROUND(SUM(AH164:AX164),5)</f>
        <v>5379.38</v>
      </c>
      <c r="AZ164" s="91">
        <v>150000</v>
      </c>
      <c r="BA164" s="91">
        <v>150000</v>
      </c>
      <c r="BB164" s="92" t="s">
        <v>251</v>
      </c>
    </row>
    <row r="165" spans="1:56" x14ac:dyDescent="0.3">
      <c r="A165" s="50"/>
      <c r="B165" s="50"/>
      <c r="C165" s="50"/>
      <c r="D165" s="50"/>
      <c r="E165" s="50"/>
      <c r="F165" s="50" t="s">
        <v>189</v>
      </c>
      <c r="G165" s="50"/>
      <c r="H165" s="51">
        <f t="shared" ref="H165:P165" si="50">ROUND(SUM(H163:H164),5)</f>
        <v>6935</v>
      </c>
      <c r="I165" s="51">
        <f t="shared" si="50"/>
        <v>1357</v>
      </c>
      <c r="J165" s="51">
        <f t="shared" si="50"/>
        <v>0</v>
      </c>
      <c r="K165" s="51">
        <f t="shared" si="50"/>
        <v>0</v>
      </c>
      <c r="L165" s="51">
        <f t="shared" si="50"/>
        <v>0</v>
      </c>
      <c r="M165" s="51">
        <f t="shared" si="50"/>
        <v>0</v>
      </c>
      <c r="N165" s="51">
        <f t="shared" si="50"/>
        <v>0</v>
      </c>
      <c r="O165" s="51">
        <f t="shared" si="50"/>
        <v>0</v>
      </c>
      <c r="P165" s="51">
        <f t="shared" si="50"/>
        <v>355787.84</v>
      </c>
      <c r="Q165" s="51">
        <f>ROUND(SUM(Q163:Q164),5)</f>
        <v>9486.81</v>
      </c>
      <c r="R165" s="51">
        <f>ROUND(SUM(R163:R164),5)</f>
        <v>261853.25</v>
      </c>
      <c r="S165" s="51">
        <f>ROUND(SUM(S163:S164),5)</f>
        <v>350000</v>
      </c>
      <c r="T165" s="51"/>
      <c r="U165" s="51">
        <f>ROUND(SUM(H165:T165),5)</f>
        <v>985419.9</v>
      </c>
      <c r="V165" s="51">
        <f>ROUND(SUM(V163:V164),5)</f>
        <v>150000</v>
      </c>
      <c r="W165" s="51">
        <f>ROUND(SUM(W163:W164),5)</f>
        <v>1600000</v>
      </c>
      <c r="AB165" s="86"/>
      <c r="AC165" s="86"/>
      <c r="AD165" s="86"/>
      <c r="AE165" s="86"/>
      <c r="AF165" s="86" t="s">
        <v>189</v>
      </c>
      <c r="AG165" s="86"/>
      <c r="AH165" s="87"/>
      <c r="AI165" s="87"/>
      <c r="AJ165" s="87"/>
      <c r="AK165" s="87"/>
      <c r="AL165" s="87">
        <f t="shared" ref="AL165:AW165" si="51">ROUND(SUM(AL163:AL164),5)</f>
        <v>0</v>
      </c>
      <c r="AM165" s="87">
        <f t="shared" si="51"/>
        <v>0</v>
      </c>
      <c r="AN165" s="87">
        <f t="shared" si="51"/>
        <v>5379.38</v>
      </c>
      <c r="AO165" s="87">
        <f t="shared" si="51"/>
        <v>0</v>
      </c>
      <c r="AP165" s="87">
        <f t="shared" si="51"/>
        <v>0</v>
      </c>
      <c r="AQ165" s="87">
        <f t="shared" si="51"/>
        <v>0</v>
      </c>
      <c r="AR165" s="87">
        <f t="shared" si="51"/>
        <v>0</v>
      </c>
      <c r="AS165" s="87">
        <f t="shared" si="51"/>
        <v>0</v>
      </c>
      <c r="AT165" s="87">
        <f t="shared" si="51"/>
        <v>0</v>
      </c>
      <c r="AU165" s="87">
        <f t="shared" si="51"/>
        <v>0</v>
      </c>
      <c r="AV165" s="87">
        <f t="shared" si="51"/>
        <v>0</v>
      </c>
      <c r="AW165" s="87">
        <f t="shared" si="51"/>
        <v>0</v>
      </c>
      <c r="AX165" s="87"/>
      <c r="AY165" s="88">
        <f>ROUND(SUM(AH165:AX165),5)</f>
        <v>5379.38</v>
      </c>
      <c r="AZ165" s="88">
        <f>ROUND(SUM(AZ163:AZ164),5)</f>
        <v>150000</v>
      </c>
      <c r="BA165" s="88">
        <f>ROUND(SUM(BA163:BA164),5)</f>
        <v>150000</v>
      </c>
      <c r="BB165" s="89"/>
    </row>
    <row r="166" spans="1:56" x14ac:dyDescent="0.3">
      <c r="A166" s="50"/>
      <c r="B166" s="50"/>
      <c r="C166" s="50"/>
      <c r="D166" s="50"/>
      <c r="E166" s="50"/>
      <c r="F166" s="50" t="s">
        <v>190</v>
      </c>
      <c r="G166" s="50"/>
      <c r="H166" s="51"/>
      <c r="I166" s="51"/>
      <c r="J166" s="51"/>
      <c r="K166" s="51"/>
      <c r="L166" s="51"/>
      <c r="M166" s="51"/>
      <c r="N166" s="51"/>
      <c r="O166" s="51"/>
      <c r="P166" s="51"/>
      <c r="Q166" s="51"/>
      <c r="R166" s="51"/>
      <c r="S166" s="51"/>
      <c r="T166" s="51"/>
      <c r="U166" s="51"/>
      <c r="V166" s="51"/>
      <c r="W166" s="51"/>
      <c r="AB166" s="86"/>
      <c r="AC166" s="86"/>
      <c r="AD166" s="86"/>
      <c r="AE166" s="86"/>
      <c r="AF166" s="86" t="s">
        <v>190</v>
      </c>
      <c r="AG166" s="86"/>
      <c r="AH166" s="87"/>
      <c r="AI166" s="87"/>
      <c r="AJ166" s="87"/>
      <c r="AK166" s="87"/>
      <c r="AL166" s="87"/>
      <c r="AM166" s="87"/>
      <c r="AN166" s="87"/>
      <c r="AO166" s="87"/>
      <c r="AP166" s="87"/>
      <c r="AQ166" s="87"/>
      <c r="AR166" s="87"/>
      <c r="AS166" s="87"/>
      <c r="AT166" s="87"/>
      <c r="AU166" s="87"/>
      <c r="AV166" s="87"/>
      <c r="AW166" s="87"/>
      <c r="AX166" s="87"/>
      <c r="AY166" s="88"/>
      <c r="AZ166" s="88"/>
      <c r="BA166" s="88"/>
      <c r="BB166" s="89"/>
    </row>
    <row r="167" spans="1:56" x14ac:dyDescent="0.3">
      <c r="A167" s="50"/>
      <c r="B167" s="50"/>
      <c r="C167" s="50"/>
      <c r="D167" s="50"/>
      <c r="E167" s="50"/>
      <c r="F167" s="50"/>
      <c r="G167" s="50" t="s">
        <v>191</v>
      </c>
      <c r="H167" s="51">
        <v>0</v>
      </c>
      <c r="I167" s="51">
        <v>0</v>
      </c>
      <c r="J167" s="51">
        <v>0</v>
      </c>
      <c r="K167" s="51">
        <v>0</v>
      </c>
      <c r="L167" s="51">
        <v>0</v>
      </c>
      <c r="M167" s="51">
        <v>0</v>
      </c>
      <c r="N167" s="51">
        <v>0</v>
      </c>
      <c r="O167" s="51">
        <v>0</v>
      </c>
      <c r="P167" s="51">
        <v>0</v>
      </c>
      <c r="Q167" s="51">
        <v>0</v>
      </c>
      <c r="R167" s="51">
        <v>0</v>
      </c>
      <c r="S167" s="51">
        <v>0</v>
      </c>
      <c r="T167" s="51"/>
      <c r="U167" s="51">
        <v>0</v>
      </c>
      <c r="V167" s="67">
        <v>60000</v>
      </c>
      <c r="W167" s="67">
        <v>60000</v>
      </c>
      <c r="AB167" s="86"/>
      <c r="AC167" s="86"/>
      <c r="AD167" s="86"/>
      <c r="AE167" s="86"/>
      <c r="AF167" s="86"/>
      <c r="AG167" s="86" t="s">
        <v>191</v>
      </c>
      <c r="AH167" s="87"/>
      <c r="AI167" s="87"/>
      <c r="AJ167" s="87"/>
      <c r="AK167" s="87"/>
      <c r="AL167" s="87">
        <v>0</v>
      </c>
      <c r="AM167" s="87">
        <v>0</v>
      </c>
      <c r="AN167" s="87">
        <v>0</v>
      </c>
      <c r="AO167" s="87">
        <v>0</v>
      </c>
      <c r="AP167" s="87">
        <v>0</v>
      </c>
      <c r="AQ167" s="87">
        <v>0</v>
      </c>
      <c r="AR167" s="87">
        <v>0</v>
      </c>
      <c r="AS167" s="87">
        <v>0</v>
      </c>
      <c r="AT167" s="87">
        <v>9137.67</v>
      </c>
      <c r="AU167" s="87">
        <v>0</v>
      </c>
      <c r="AV167" s="87">
        <v>0</v>
      </c>
      <c r="AW167" s="87">
        <v>0</v>
      </c>
      <c r="AX167" s="87"/>
      <c r="AY167" s="88">
        <f>ROUND(SUM(AH167:AX167),5)</f>
        <v>9137.67</v>
      </c>
      <c r="AZ167" s="88">
        <v>75000</v>
      </c>
      <c r="BA167" s="88">
        <v>60000</v>
      </c>
      <c r="BB167" s="89"/>
    </row>
    <row r="168" spans="1:56" x14ac:dyDescent="0.3">
      <c r="A168" s="50"/>
      <c r="B168" s="50"/>
      <c r="C168" s="50"/>
      <c r="D168" s="50"/>
      <c r="E168" s="50"/>
      <c r="F168" s="50"/>
      <c r="G168" s="50" t="s">
        <v>192</v>
      </c>
      <c r="H168" s="51">
        <v>0</v>
      </c>
      <c r="I168" s="51">
        <v>0</v>
      </c>
      <c r="J168" s="51">
        <v>0</v>
      </c>
      <c r="K168" s="51">
        <v>0</v>
      </c>
      <c r="L168" s="51">
        <v>0</v>
      </c>
      <c r="M168" s="51">
        <v>0</v>
      </c>
      <c r="N168" s="51">
        <v>0</v>
      </c>
      <c r="O168" s="51">
        <v>0</v>
      </c>
      <c r="P168" s="51">
        <v>0</v>
      </c>
      <c r="Q168" s="51">
        <v>0</v>
      </c>
      <c r="R168" s="51">
        <v>0</v>
      </c>
      <c r="S168" s="51">
        <v>0</v>
      </c>
      <c r="T168" s="51"/>
      <c r="U168" s="51">
        <v>0</v>
      </c>
      <c r="V168" s="67">
        <v>17000</v>
      </c>
      <c r="W168" s="67">
        <v>17000</v>
      </c>
      <c r="AB168" s="86"/>
      <c r="AC168" s="86"/>
      <c r="AD168" s="86"/>
      <c r="AE168" s="86"/>
      <c r="AF168" s="86"/>
      <c r="AG168" s="86" t="s">
        <v>192</v>
      </c>
      <c r="AH168" s="87"/>
      <c r="AI168" s="87"/>
      <c r="AJ168" s="87"/>
      <c r="AK168" s="87"/>
      <c r="AL168" s="87">
        <v>0</v>
      </c>
      <c r="AM168" s="87">
        <v>0</v>
      </c>
      <c r="AN168" s="87">
        <v>0</v>
      </c>
      <c r="AO168" s="87">
        <v>0</v>
      </c>
      <c r="AP168" s="87">
        <v>0</v>
      </c>
      <c r="AQ168" s="87">
        <v>0</v>
      </c>
      <c r="AR168" s="87">
        <v>0</v>
      </c>
      <c r="AS168" s="87">
        <v>2082.06</v>
      </c>
      <c r="AT168" s="87">
        <v>0</v>
      </c>
      <c r="AU168" s="87">
        <v>0</v>
      </c>
      <c r="AV168" s="87">
        <v>0</v>
      </c>
      <c r="AW168" s="87">
        <v>0</v>
      </c>
      <c r="AX168" s="87"/>
      <c r="AY168" s="88">
        <f>ROUND(SUM(AH168:AX168),5)</f>
        <v>2082.06</v>
      </c>
      <c r="AZ168" s="88">
        <v>17000</v>
      </c>
      <c r="BA168" s="88">
        <v>17000</v>
      </c>
      <c r="BB168" s="89"/>
    </row>
    <row r="169" spans="1:56" ht="22.2" thickBot="1" x14ac:dyDescent="0.35">
      <c r="A169" s="50"/>
      <c r="B169" s="50"/>
      <c r="C169" s="50"/>
      <c r="D169" s="50"/>
      <c r="E169" s="50"/>
      <c r="F169" s="50"/>
      <c r="G169" s="50" t="s">
        <v>193</v>
      </c>
      <c r="H169" s="52">
        <v>0</v>
      </c>
      <c r="I169" s="52">
        <v>1945</v>
      </c>
      <c r="J169" s="52">
        <v>0</v>
      </c>
      <c r="K169" s="52">
        <v>0</v>
      </c>
      <c r="L169" s="52">
        <v>0</v>
      </c>
      <c r="M169" s="52">
        <v>0</v>
      </c>
      <c r="N169" s="52">
        <v>0</v>
      </c>
      <c r="O169" s="52">
        <v>0</v>
      </c>
      <c r="P169" s="52">
        <v>0</v>
      </c>
      <c r="Q169" s="52">
        <v>0</v>
      </c>
      <c r="R169" s="52">
        <v>0</v>
      </c>
      <c r="S169" s="52">
        <v>0</v>
      </c>
      <c r="T169" s="52"/>
      <c r="U169" s="52">
        <f>ROUND(SUM(H169:T169),5)</f>
        <v>1945</v>
      </c>
      <c r="V169" s="52">
        <v>5000</v>
      </c>
      <c r="W169" s="52">
        <v>6000</v>
      </c>
      <c r="X169" s="68" t="s">
        <v>253</v>
      </c>
      <c r="AA169" s="56"/>
      <c r="AB169" s="86"/>
      <c r="AC169" s="86"/>
      <c r="AD169" s="86"/>
      <c r="AE169" s="86"/>
      <c r="AF169" s="86"/>
      <c r="AG169" s="86" t="s">
        <v>193</v>
      </c>
      <c r="AH169" s="90"/>
      <c r="AI169" s="90"/>
      <c r="AJ169" s="90"/>
      <c r="AK169" s="90"/>
      <c r="AL169" s="90">
        <v>0</v>
      </c>
      <c r="AM169" s="90">
        <v>1945</v>
      </c>
      <c r="AN169" s="90">
        <v>0</v>
      </c>
      <c r="AO169" s="90">
        <v>0</v>
      </c>
      <c r="AP169" s="90">
        <v>0</v>
      </c>
      <c r="AQ169" s="90">
        <v>0</v>
      </c>
      <c r="AR169" s="90">
        <v>0</v>
      </c>
      <c r="AS169" s="90">
        <v>0</v>
      </c>
      <c r="AT169" s="90">
        <v>0</v>
      </c>
      <c r="AU169" s="90">
        <v>0</v>
      </c>
      <c r="AV169" s="90">
        <v>0</v>
      </c>
      <c r="AW169" s="90">
        <v>0</v>
      </c>
      <c r="AX169" s="90"/>
      <c r="AY169" s="91">
        <f>ROUND(SUM(AH169:AX169),5)</f>
        <v>1945</v>
      </c>
      <c r="AZ169" s="91">
        <v>5000</v>
      </c>
      <c r="BA169" s="91">
        <v>5000</v>
      </c>
      <c r="BB169" s="92" t="s">
        <v>253</v>
      </c>
    </row>
    <row r="170" spans="1:56" ht="15" thickBot="1" x14ac:dyDescent="0.35">
      <c r="A170" s="50"/>
      <c r="B170" s="50"/>
      <c r="C170" s="50"/>
      <c r="D170" s="50"/>
      <c r="E170" s="50"/>
      <c r="F170" s="50" t="s">
        <v>194</v>
      </c>
      <c r="G170" s="50"/>
      <c r="H170" s="52">
        <f t="shared" ref="H170:S170" si="52">ROUND(SUM(H166:H169),5)</f>
        <v>0</v>
      </c>
      <c r="I170" s="52">
        <f t="shared" si="52"/>
        <v>1945</v>
      </c>
      <c r="J170" s="52">
        <f t="shared" si="52"/>
        <v>0</v>
      </c>
      <c r="K170" s="52">
        <f t="shared" si="52"/>
        <v>0</v>
      </c>
      <c r="L170" s="52">
        <f t="shared" si="52"/>
        <v>0</v>
      </c>
      <c r="M170" s="52">
        <f t="shared" si="52"/>
        <v>0</v>
      </c>
      <c r="N170" s="52">
        <f t="shared" si="52"/>
        <v>0</v>
      </c>
      <c r="O170" s="52">
        <f t="shared" si="52"/>
        <v>0</v>
      </c>
      <c r="P170" s="52">
        <f t="shared" si="52"/>
        <v>0</v>
      </c>
      <c r="Q170" s="52">
        <f t="shared" si="52"/>
        <v>0</v>
      </c>
      <c r="R170" s="52">
        <f t="shared" si="52"/>
        <v>0</v>
      </c>
      <c r="S170" s="52">
        <f t="shared" si="52"/>
        <v>0</v>
      </c>
      <c r="T170" s="52"/>
      <c r="U170" s="52">
        <f>ROUND(SUM(H170:T170),5)</f>
        <v>1945</v>
      </c>
      <c r="V170" s="52">
        <f>ROUND(SUM(V166:V169),5)</f>
        <v>82000</v>
      </c>
      <c r="W170" s="114">
        <f>ROUND(SUM(W166:W169),5)</f>
        <v>83000</v>
      </c>
      <c r="AB170" s="86"/>
      <c r="AC170" s="86"/>
      <c r="AD170" s="86"/>
      <c r="AE170" s="86" t="s">
        <v>195</v>
      </c>
      <c r="AF170" s="86" t="s">
        <v>194</v>
      </c>
      <c r="AG170" s="86"/>
      <c r="AH170" s="90"/>
      <c r="AI170" s="90"/>
      <c r="AJ170" s="90"/>
      <c r="AK170" s="90"/>
      <c r="AL170" s="90">
        <f t="shared" ref="AL170:AW170" si="53">ROUND(SUM(AL166:AL169),5)</f>
        <v>0</v>
      </c>
      <c r="AM170" s="90">
        <f t="shared" si="53"/>
        <v>1945</v>
      </c>
      <c r="AN170" s="90">
        <f t="shared" si="53"/>
        <v>0</v>
      </c>
      <c r="AO170" s="90">
        <f t="shared" si="53"/>
        <v>0</v>
      </c>
      <c r="AP170" s="90">
        <f t="shared" si="53"/>
        <v>0</v>
      </c>
      <c r="AQ170" s="90">
        <f t="shared" si="53"/>
        <v>0</v>
      </c>
      <c r="AR170" s="90">
        <f t="shared" si="53"/>
        <v>0</v>
      </c>
      <c r="AS170" s="90">
        <f t="shared" si="53"/>
        <v>2082.06</v>
      </c>
      <c r="AT170" s="90">
        <f t="shared" si="53"/>
        <v>9137.67</v>
      </c>
      <c r="AU170" s="90">
        <f t="shared" si="53"/>
        <v>0</v>
      </c>
      <c r="AV170" s="90">
        <f t="shared" si="53"/>
        <v>0</v>
      </c>
      <c r="AW170" s="90">
        <f t="shared" si="53"/>
        <v>0</v>
      </c>
      <c r="AX170" s="90"/>
      <c r="AY170" s="91">
        <f>ROUND(SUM(AH170:AX170),5)</f>
        <v>13164.73</v>
      </c>
      <c r="AZ170" s="91">
        <f>ROUND(SUM(AZ166:AZ169),5)</f>
        <v>97000</v>
      </c>
      <c r="BA170" s="91">
        <f>ROUND(SUM(BA166:BA169),5)</f>
        <v>82000</v>
      </c>
      <c r="BB170" s="92"/>
    </row>
    <row r="171" spans="1:56" ht="15" thickBot="1" x14ac:dyDescent="0.35">
      <c r="A171" s="50"/>
      <c r="B171" s="50"/>
      <c r="C171" s="50"/>
      <c r="D171" s="50"/>
      <c r="E171" s="50" t="s">
        <v>195</v>
      </c>
      <c r="F171" s="50"/>
      <c r="G171" s="50"/>
      <c r="H171" s="54">
        <f t="shared" ref="H171:S171" si="54">ROUND(H156+H162+H165+H170,5)</f>
        <v>6935</v>
      </c>
      <c r="I171" s="54">
        <f t="shared" si="54"/>
        <v>3302</v>
      </c>
      <c r="J171" s="54">
        <f t="shared" si="54"/>
        <v>0</v>
      </c>
      <c r="K171" s="54">
        <f t="shared" si="54"/>
        <v>0</v>
      </c>
      <c r="L171" s="54">
        <f t="shared" si="54"/>
        <v>0</v>
      </c>
      <c r="M171" s="54">
        <f t="shared" si="54"/>
        <v>0</v>
      </c>
      <c r="N171" s="54">
        <f t="shared" si="54"/>
        <v>0</v>
      </c>
      <c r="O171" s="54">
        <f t="shared" si="54"/>
        <v>1900</v>
      </c>
      <c r="P171" s="54">
        <f t="shared" si="54"/>
        <v>355787.84</v>
      </c>
      <c r="Q171" s="54">
        <f t="shared" si="54"/>
        <v>9486.81</v>
      </c>
      <c r="R171" s="54">
        <f t="shared" si="54"/>
        <v>261853.25</v>
      </c>
      <c r="S171" s="54">
        <f t="shared" si="54"/>
        <v>350000</v>
      </c>
      <c r="T171" s="54"/>
      <c r="U171" s="54">
        <f>ROUND(SUM(H171:T171),5)</f>
        <v>989264.9</v>
      </c>
      <c r="V171" s="54">
        <f>ROUND(V156+V162+V165+V170,5)</f>
        <v>351500</v>
      </c>
      <c r="W171" s="54">
        <f>ROUND(W156+W162+W165+W170,5)</f>
        <v>1802500</v>
      </c>
      <c r="AB171" s="86"/>
      <c r="AC171" s="86"/>
      <c r="AD171" s="86"/>
      <c r="AE171" s="86"/>
      <c r="AF171" s="86"/>
      <c r="AG171" s="86"/>
      <c r="AH171" s="87"/>
      <c r="AI171" s="87"/>
      <c r="AJ171" s="87"/>
      <c r="AK171" s="87"/>
      <c r="AL171" s="99">
        <f t="shared" ref="AL171:AW171" si="55">ROUND(AL156+AL162+AL165+AL170,5)</f>
        <v>0</v>
      </c>
      <c r="AM171" s="99">
        <f t="shared" si="55"/>
        <v>1945</v>
      </c>
      <c r="AN171" s="99">
        <f t="shared" si="55"/>
        <v>5379.38</v>
      </c>
      <c r="AO171" s="99">
        <f t="shared" si="55"/>
        <v>0</v>
      </c>
      <c r="AP171" s="99">
        <f t="shared" si="55"/>
        <v>0</v>
      </c>
      <c r="AQ171" s="99">
        <f t="shared" si="55"/>
        <v>0</v>
      </c>
      <c r="AR171" s="99">
        <f t="shared" si="55"/>
        <v>0</v>
      </c>
      <c r="AS171" s="99">
        <f t="shared" si="55"/>
        <v>2082.06</v>
      </c>
      <c r="AT171" s="99">
        <f t="shared" si="55"/>
        <v>9137.67</v>
      </c>
      <c r="AU171" s="99">
        <f t="shared" si="55"/>
        <v>0</v>
      </c>
      <c r="AV171" s="99">
        <f t="shared" si="55"/>
        <v>0</v>
      </c>
      <c r="AW171" s="99">
        <f t="shared" si="55"/>
        <v>0</v>
      </c>
      <c r="AX171" s="99"/>
      <c r="AY171" s="100">
        <f>ROUND(SUM(AH171:AX171),5)</f>
        <v>18544.11</v>
      </c>
      <c r="AZ171" s="100">
        <f>ROUND(AZ156+AZ162+AZ165+AZ170,5)</f>
        <v>366500</v>
      </c>
      <c r="BA171" s="100">
        <f>ROUND(BA156+BA162+BA165+BA170,5)</f>
        <v>351500</v>
      </c>
      <c r="BB171" s="101"/>
    </row>
    <row r="172" spans="1:56" s="56" customFormat="1" ht="22.2" thickBot="1" x14ac:dyDescent="0.35">
      <c r="A172" s="50"/>
      <c r="B172" s="50"/>
      <c r="C172" s="50"/>
      <c r="D172" s="50"/>
      <c r="E172" s="50" t="s">
        <v>203</v>
      </c>
      <c r="F172" s="50"/>
      <c r="G172" s="50"/>
      <c r="H172" s="54"/>
      <c r="I172" s="54"/>
      <c r="J172" s="54"/>
      <c r="K172" s="54"/>
      <c r="L172" s="54"/>
      <c r="M172" s="54"/>
      <c r="N172" s="54"/>
      <c r="O172" s="54"/>
      <c r="P172" s="54"/>
      <c r="Q172" s="54"/>
      <c r="R172" s="54"/>
      <c r="S172" s="54"/>
      <c r="T172" s="54"/>
      <c r="U172" s="54">
        <v>0</v>
      </c>
      <c r="V172" s="54">
        <v>226000</v>
      </c>
      <c r="W172" s="54">
        <f>W24+W20</f>
        <v>145100</v>
      </c>
      <c r="X172" s="68" t="s">
        <v>209</v>
      </c>
      <c r="Y172"/>
      <c r="Z172"/>
      <c r="AA172"/>
      <c r="AB172" s="86"/>
      <c r="AC172" s="86"/>
      <c r="AD172" s="86"/>
      <c r="AE172" s="86"/>
      <c r="AF172" s="86"/>
      <c r="AG172" s="86"/>
      <c r="AH172" s="87"/>
      <c r="AI172" s="87"/>
      <c r="AJ172" s="87"/>
      <c r="AK172" s="87"/>
      <c r="AL172" s="99"/>
      <c r="AM172" s="99"/>
      <c r="AN172" s="99"/>
      <c r="AO172" s="99"/>
      <c r="AP172" s="99"/>
      <c r="AQ172" s="99"/>
      <c r="AR172" s="99"/>
      <c r="AS172" s="99"/>
      <c r="AT172" s="99"/>
      <c r="AU172" s="99"/>
      <c r="AV172" s="99"/>
      <c r="AW172" s="99"/>
      <c r="AX172" s="99"/>
      <c r="AY172" s="86"/>
      <c r="AZ172" s="86"/>
      <c r="BA172" s="86"/>
      <c r="BB172" s="86"/>
      <c r="BC172"/>
      <c r="BD172"/>
    </row>
    <row r="173" spans="1:56" s="56" customFormat="1" ht="15" thickBot="1" x14ac:dyDescent="0.35">
      <c r="A173" s="50"/>
      <c r="B173" s="50"/>
      <c r="C173" s="50"/>
      <c r="D173" s="50"/>
      <c r="E173" s="50" t="s">
        <v>299</v>
      </c>
      <c r="F173" s="50"/>
      <c r="G173" s="50"/>
      <c r="H173" s="54"/>
      <c r="I173" s="54"/>
      <c r="J173" s="54"/>
      <c r="K173" s="54"/>
      <c r="L173" s="54"/>
      <c r="M173" s="54"/>
      <c r="N173" s="54"/>
      <c r="O173" s="54"/>
      <c r="P173" s="54"/>
      <c r="Q173" s="54"/>
      <c r="R173" s="54"/>
      <c r="S173" s="54"/>
      <c r="T173" s="54"/>
      <c r="U173" s="54">
        <v>0</v>
      </c>
      <c r="V173" s="54">
        <v>0</v>
      </c>
      <c r="W173" s="54">
        <v>-1802500</v>
      </c>
      <c r="X173" s="68" t="s">
        <v>300</v>
      </c>
      <c r="Y173"/>
      <c r="Z173"/>
      <c r="AA173"/>
      <c r="AB173" s="86"/>
      <c r="AC173" s="86"/>
      <c r="AD173" s="86"/>
      <c r="AE173" s="86"/>
      <c r="AF173" s="86"/>
      <c r="AG173" s="86"/>
      <c r="AH173" s="87"/>
      <c r="AI173" s="87"/>
      <c r="AJ173" s="87"/>
      <c r="AK173" s="87"/>
      <c r="AL173" s="99"/>
      <c r="AM173" s="99"/>
      <c r="AN173" s="99"/>
      <c r="AO173" s="99"/>
      <c r="AP173" s="99"/>
      <c r="AQ173" s="99"/>
      <c r="AR173" s="99"/>
      <c r="AS173" s="99"/>
      <c r="AT173" s="99"/>
      <c r="AU173" s="99"/>
      <c r="AV173" s="99"/>
      <c r="AW173" s="99"/>
      <c r="AX173" s="99"/>
      <c r="AY173" s="86"/>
      <c r="AZ173" s="86"/>
      <c r="BA173" s="86"/>
      <c r="BB173" s="86"/>
      <c r="BC173"/>
      <c r="BD173"/>
    </row>
    <row r="174" spans="1:56" ht="22.2" thickBot="1" x14ac:dyDescent="0.35">
      <c r="A174" s="50"/>
      <c r="B174" s="50"/>
      <c r="C174" s="50"/>
      <c r="D174" s="50"/>
      <c r="E174" s="50" t="s">
        <v>204</v>
      </c>
      <c r="F174" s="50"/>
      <c r="G174" s="50"/>
      <c r="H174" s="54"/>
      <c r="I174" s="54"/>
      <c r="J174" s="54"/>
      <c r="K174" s="54"/>
      <c r="L174" s="54"/>
      <c r="M174" s="54"/>
      <c r="N174" s="54"/>
      <c r="O174" s="54"/>
      <c r="P174" s="54"/>
      <c r="Q174" s="54"/>
      <c r="R174" s="54"/>
      <c r="S174" s="54"/>
      <c r="T174" s="54"/>
      <c r="U174" s="54">
        <v>0</v>
      </c>
      <c r="V174" s="54">
        <v>245659</v>
      </c>
      <c r="W174" s="116">
        <f>313950+7500</f>
        <v>321450</v>
      </c>
      <c r="X174" s="68" t="s">
        <v>301</v>
      </c>
      <c r="Y174" s="56"/>
      <c r="Z174" s="56"/>
      <c r="AB174" s="86"/>
      <c r="AC174" s="86"/>
      <c r="AD174" s="86"/>
      <c r="AE174" s="86"/>
      <c r="AF174" s="86"/>
      <c r="AG174" s="86"/>
      <c r="AH174" s="87"/>
      <c r="AI174" s="87"/>
      <c r="AJ174" s="87"/>
      <c r="AK174" s="87"/>
      <c r="AL174" s="99"/>
      <c r="AM174" s="99"/>
      <c r="AN174" s="99"/>
      <c r="AO174" s="99"/>
      <c r="AP174" s="99"/>
      <c r="AQ174" s="99"/>
      <c r="AR174" s="99"/>
      <c r="AS174" s="99"/>
      <c r="AT174" s="99"/>
      <c r="AU174" s="99"/>
      <c r="AV174" s="99"/>
      <c r="AW174" s="99"/>
      <c r="AX174" s="99"/>
      <c r="AY174" s="86"/>
      <c r="AZ174" s="86"/>
      <c r="BA174" s="86"/>
      <c r="BB174" s="86"/>
    </row>
    <row r="175" spans="1:56" ht="15" thickBot="1" x14ac:dyDescent="0.35">
      <c r="A175" s="50"/>
      <c r="B175" s="50"/>
      <c r="C175" s="50"/>
      <c r="D175" s="50" t="s">
        <v>5</v>
      </c>
      <c r="E175" s="50"/>
      <c r="F175" s="50"/>
      <c r="G175" s="50"/>
      <c r="H175" s="53">
        <f t="shared" ref="H175:S175" si="56">ROUND(H40+H71+H149+H155+H171,5)</f>
        <v>40629.21</v>
      </c>
      <c r="I175" s="53">
        <f t="shared" si="56"/>
        <v>42211.89</v>
      </c>
      <c r="J175" s="53">
        <f t="shared" si="56"/>
        <v>35255.99</v>
      </c>
      <c r="K175" s="53">
        <f t="shared" si="56"/>
        <v>58915.23</v>
      </c>
      <c r="L175" s="53">
        <f t="shared" si="56"/>
        <v>38223.08</v>
      </c>
      <c r="M175" s="53">
        <f t="shared" si="56"/>
        <v>55599.54</v>
      </c>
      <c r="N175" s="53">
        <f t="shared" si="56"/>
        <v>57824.7</v>
      </c>
      <c r="O175" s="53">
        <f t="shared" si="56"/>
        <v>44586.239999999998</v>
      </c>
      <c r="P175" s="53">
        <f t="shared" si="56"/>
        <v>393348.6</v>
      </c>
      <c r="Q175" s="53">
        <f t="shared" si="56"/>
        <v>58195.67</v>
      </c>
      <c r="R175" s="53">
        <f t="shared" si="56"/>
        <v>299439.25</v>
      </c>
      <c r="S175" s="53">
        <f t="shared" si="56"/>
        <v>455414.61</v>
      </c>
      <c r="T175" s="53"/>
      <c r="U175" s="53">
        <f>ROUND(SUM(H175:T175),5)</f>
        <v>1579644.01</v>
      </c>
      <c r="V175" s="53">
        <f>ROUND(V40+V71+V149+V155+V171,5)+V172+V174</f>
        <v>1552500</v>
      </c>
      <c r="W175" s="53">
        <f>ROUND(W40+W71+W149+W155+W171,5)+W172+W174+W173</f>
        <v>1198500</v>
      </c>
      <c r="AB175" s="86"/>
      <c r="AC175" s="86"/>
      <c r="AD175" s="86"/>
      <c r="AE175" s="86"/>
      <c r="AF175" s="86"/>
      <c r="AG175" s="86"/>
      <c r="AH175" s="87"/>
      <c r="AI175" s="87"/>
      <c r="AJ175" s="87"/>
      <c r="AK175" s="87"/>
      <c r="AL175" s="99"/>
      <c r="AM175" s="99"/>
      <c r="AN175" s="99"/>
      <c r="AO175" s="99"/>
      <c r="AP175" s="99"/>
      <c r="AQ175" s="99"/>
      <c r="AR175" s="99"/>
      <c r="AS175" s="99"/>
      <c r="AT175" s="99"/>
      <c r="AU175" s="99"/>
      <c r="AV175" s="99"/>
      <c r="AW175" s="99"/>
      <c r="AX175" s="99"/>
      <c r="AY175" s="86"/>
      <c r="AZ175" s="86"/>
      <c r="BA175" s="86"/>
      <c r="BB175" s="86"/>
    </row>
    <row r="176" spans="1:56" ht="15" thickBot="1" x14ac:dyDescent="0.35">
      <c r="A176" s="50"/>
      <c r="B176" s="50" t="s">
        <v>6</v>
      </c>
      <c r="C176" s="50"/>
      <c r="D176" s="50"/>
      <c r="E176" s="50"/>
      <c r="F176" s="50"/>
      <c r="G176" s="50"/>
      <c r="H176" s="51">
        <f t="shared" ref="H176:S176" si="57">ROUND(H2+H39-H175,5)</f>
        <v>20645.93</v>
      </c>
      <c r="I176" s="51">
        <f t="shared" si="57"/>
        <v>-21134.85</v>
      </c>
      <c r="J176" s="51">
        <f t="shared" si="57"/>
        <v>51003.360000000001</v>
      </c>
      <c r="K176" s="51">
        <f t="shared" si="57"/>
        <v>26647.89</v>
      </c>
      <c r="L176" s="51">
        <f t="shared" si="57"/>
        <v>-11791.18</v>
      </c>
      <c r="M176" s="51">
        <f t="shared" si="57"/>
        <v>242069.91</v>
      </c>
      <c r="N176" s="51">
        <f t="shared" si="57"/>
        <v>160957.59</v>
      </c>
      <c r="O176" s="51">
        <f t="shared" si="57"/>
        <v>15114.64</v>
      </c>
      <c r="P176" s="51">
        <f t="shared" si="57"/>
        <v>-318923.76</v>
      </c>
      <c r="Q176" s="51">
        <f t="shared" si="57"/>
        <v>46415.09</v>
      </c>
      <c r="R176" s="51">
        <f t="shared" si="57"/>
        <v>-23874.639999999999</v>
      </c>
      <c r="S176" s="51">
        <f t="shared" si="57"/>
        <v>-411762.25</v>
      </c>
      <c r="T176" s="51"/>
      <c r="U176" s="51">
        <f>ROUND(SUM(H176:T176),5)</f>
        <v>-224632.27</v>
      </c>
      <c r="V176" s="51">
        <f>ROUND(V2+V39-V175,5)</f>
        <v>-351500</v>
      </c>
      <c r="W176" s="51">
        <f>ROUND(W2+W39-W175,5)</f>
        <v>0</v>
      </c>
      <c r="AB176" s="86"/>
      <c r="AC176" s="86"/>
      <c r="AD176" s="86"/>
      <c r="AE176" s="86" t="s">
        <v>203</v>
      </c>
      <c r="AF176" s="86"/>
      <c r="AG176" s="86"/>
      <c r="AH176" s="87"/>
      <c r="AI176" s="87"/>
      <c r="AJ176" s="87"/>
      <c r="AK176" s="87"/>
      <c r="AL176" s="99"/>
      <c r="AM176" s="99"/>
      <c r="AN176" s="99"/>
      <c r="AO176" s="99"/>
      <c r="AP176" s="99"/>
      <c r="AQ176" s="99"/>
      <c r="AR176" s="99"/>
      <c r="AS176" s="99"/>
      <c r="AT176" s="99"/>
      <c r="AU176" s="99"/>
      <c r="AV176" s="99"/>
      <c r="AW176" s="99"/>
      <c r="AX176" s="99"/>
      <c r="AY176" s="86"/>
      <c r="AZ176" s="86"/>
      <c r="BA176" s="86"/>
      <c r="BB176" s="86"/>
    </row>
    <row r="177" spans="1:54" ht="17.399999999999999" hidden="1" customHeight="1" thickBot="1" x14ac:dyDescent="0.35">
      <c r="A177" s="50"/>
      <c r="B177" s="50" t="s">
        <v>7</v>
      </c>
      <c r="C177" s="50"/>
      <c r="D177" s="50"/>
      <c r="E177" s="50"/>
      <c r="F177" s="50"/>
      <c r="G177" s="50"/>
      <c r="H177" s="51"/>
      <c r="I177" s="51"/>
      <c r="J177" s="51"/>
      <c r="K177" s="51"/>
      <c r="L177" s="51"/>
      <c r="M177" s="51"/>
      <c r="N177" s="51"/>
      <c r="O177" s="51"/>
      <c r="P177" s="51"/>
      <c r="Q177" s="51"/>
      <c r="R177" s="51"/>
      <c r="S177" s="51"/>
      <c r="T177" s="51"/>
      <c r="U177" s="51"/>
      <c r="V177" s="51"/>
      <c r="W177" s="51"/>
      <c r="AB177" s="86"/>
      <c r="AC177" s="86"/>
      <c r="AD177" s="86"/>
      <c r="AE177" s="86" t="s">
        <v>204</v>
      </c>
      <c r="AF177" s="86"/>
      <c r="AG177" s="86"/>
      <c r="AH177" s="87"/>
      <c r="AI177" s="87"/>
      <c r="AJ177" s="87"/>
      <c r="AK177" s="87"/>
      <c r="AL177" s="102">
        <v>0</v>
      </c>
      <c r="AM177" s="102">
        <v>0</v>
      </c>
      <c r="AN177" s="102">
        <v>0</v>
      </c>
      <c r="AO177" s="102">
        <v>0</v>
      </c>
      <c r="AP177" s="102">
        <v>0</v>
      </c>
      <c r="AQ177" s="102">
        <v>0</v>
      </c>
      <c r="AR177" s="102">
        <v>0</v>
      </c>
      <c r="AS177" s="102">
        <v>0</v>
      </c>
      <c r="AT177" s="102">
        <v>0</v>
      </c>
      <c r="AU177" s="102">
        <v>0</v>
      </c>
      <c r="AV177" s="102">
        <v>0</v>
      </c>
      <c r="AW177" s="102">
        <v>0</v>
      </c>
      <c r="AX177" s="102"/>
      <c r="AY177" s="103">
        <v>0</v>
      </c>
      <c r="AZ177" s="103">
        <v>177000</v>
      </c>
      <c r="BA177" s="103">
        <f>BA17+BA18+BA24+BA20</f>
        <v>226000</v>
      </c>
      <c r="BB177" s="104" t="s">
        <v>209</v>
      </c>
    </row>
    <row r="178" spans="1:54" ht="25.8" hidden="1" customHeight="1" thickBot="1" x14ac:dyDescent="0.35">
      <c r="A178" s="50"/>
      <c r="B178" s="50"/>
      <c r="C178" s="50" t="s">
        <v>8</v>
      </c>
      <c r="D178" s="50"/>
      <c r="E178" s="50"/>
      <c r="F178" s="50"/>
      <c r="G178" s="50"/>
      <c r="H178" s="51"/>
      <c r="I178" s="51"/>
      <c r="J178" s="51"/>
      <c r="K178" s="51"/>
      <c r="L178" s="51"/>
      <c r="M178" s="51"/>
      <c r="N178" s="51"/>
      <c r="O178" s="51"/>
      <c r="P178" s="51"/>
      <c r="Q178" s="51"/>
      <c r="R178" s="51"/>
      <c r="S178" s="51"/>
      <c r="T178" s="51"/>
      <c r="U178" s="51"/>
      <c r="V178" s="51"/>
      <c r="W178" s="51"/>
      <c r="AB178" s="86"/>
      <c r="AC178" s="86"/>
      <c r="AD178" s="86" t="s">
        <v>5</v>
      </c>
      <c r="AE178" s="86"/>
      <c r="AF178" s="86"/>
      <c r="AG178" s="86"/>
      <c r="AH178" s="87"/>
      <c r="AI178" s="87"/>
      <c r="AJ178" s="87"/>
      <c r="AK178" s="87"/>
      <c r="AL178" s="87">
        <v>0</v>
      </c>
      <c r="AM178" s="87">
        <v>0</v>
      </c>
      <c r="AN178" s="87">
        <v>0</v>
      </c>
      <c r="AO178" s="87">
        <v>0</v>
      </c>
      <c r="AP178" s="87">
        <v>0</v>
      </c>
      <c r="AQ178" s="87">
        <v>0</v>
      </c>
      <c r="AR178" s="87">
        <v>0</v>
      </c>
      <c r="AS178" s="87">
        <v>0</v>
      </c>
      <c r="AT178" s="87">
        <v>0</v>
      </c>
      <c r="AU178" s="87">
        <v>0</v>
      </c>
      <c r="AV178" s="87">
        <v>0</v>
      </c>
      <c r="AW178" s="87">
        <v>0</v>
      </c>
      <c r="AX178" s="87"/>
      <c r="AY178" s="88">
        <v>0</v>
      </c>
      <c r="AZ178" s="88">
        <v>236020</v>
      </c>
      <c r="BA178" s="88">
        <v>245659</v>
      </c>
      <c r="BB178" s="89" t="s">
        <v>259</v>
      </c>
    </row>
    <row r="179" spans="1:54" ht="14.4" hidden="1" customHeight="1" thickBot="1" x14ac:dyDescent="0.35">
      <c r="A179" s="50"/>
      <c r="B179" s="50"/>
      <c r="C179" s="50"/>
      <c r="D179" s="50" t="s">
        <v>196</v>
      </c>
      <c r="E179" s="50"/>
      <c r="F179" s="50"/>
      <c r="G179" s="50"/>
      <c r="H179" s="51">
        <v>488.69</v>
      </c>
      <c r="I179" s="51">
        <v>0</v>
      </c>
      <c r="J179" s="51">
        <v>0</v>
      </c>
      <c r="K179" s="51">
        <v>0</v>
      </c>
      <c r="L179" s="51">
        <v>0</v>
      </c>
      <c r="M179" s="51">
        <v>0</v>
      </c>
      <c r="N179" s="51">
        <v>1206.2</v>
      </c>
      <c r="O179" s="51">
        <v>0</v>
      </c>
      <c r="P179" s="51">
        <v>0</v>
      </c>
      <c r="Q179" s="51">
        <v>0</v>
      </c>
      <c r="R179" s="51">
        <v>0</v>
      </c>
      <c r="S179" s="51">
        <v>0</v>
      </c>
      <c r="T179" s="51"/>
      <c r="U179" s="51">
        <f t="shared" ref="U179:U184" si="58">ROUND(SUM(H179:T179),5)</f>
        <v>1694.89</v>
      </c>
      <c r="V179" s="51">
        <v>0</v>
      </c>
      <c r="W179" s="51">
        <v>0</v>
      </c>
      <c r="X179" s="68" t="s">
        <v>206</v>
      </c>
      <c r="AB179" s="86" t="s">
        <v>6</v>
      </c>
      <c r="AC179" s="86"/>
      <c r="AD179" s="86"/>
      <c r="AE179" s="86"/>
      <c r="AF179" s="86"/>
      <c r="AG179" s="86"/>
      <c r="AH179" s="93"/>
      <c r="AI179" s="93"/>
      <c r="AJ179" s="93"/>
      <c r="AK179" s="93"/>
      <c r="AL179" s="93">
        <f t="shared" ref="AL179:BA179" si="59">ROUND(AL40+AL71+AL149+AL155+AL171,5)+AL177+AL178</f>
        <v>27999</v>
      </c>
      <c r="AM179" s="93">
        <f t="shared" si="59"/>
        <v>43641.53</v>
      </c>
      <c r="AN179" s="93">
        <f t="shared" si="59"/>
        <v>40907.26</v>
      </c>
      <c r="AO179" s="93">
        <f t="shared" si="59"/>
        <v>48192.54</v>
      </c>
      <c r="AP179" s="93">
        <f t="shared" si="59"/>
        <v>32728.26</v>
      </c>
      <c r="AQ179" s="93">
        <f t="shared" si="59"/>
        <v>36866.379999999997</v>
      </c>
      <c r="AR179" s="93">
        <f t="shared" si="59"/>
        <v>44453.31</v>
      </c>
      <c r="AS179" s="93">
        <f t="shared" si="59"/>
        <v>32567.72</v>
      </c>
      <c r="AT179" s="93">
        <f t="shared" si="59"/>
        <v>48013.1</v>
      </c>
      <c r="AU179" s="93">
        <f t="shared" si="59"/>
        <v>52967.27</v>
      </c>
      <c r="AV179" s="93">
        <f t="shared" si="59"/>
        <v>50116.65</v>
      </c>
      <c r="AW179" s="93">
        <f t="shared" si="59"/>
        <v>98258.22</v>
      </c>
      <c r="AX179" s="93">
        <f t="shared" si="59"/>
        <v>0</v>
      </c>
      <c r="AY179" s="94">
        <f t="shared" si="59"/>
        <v>556711.24</v>
      </c>
      <c r="AZ179" s="94">
        <f t="shared" si="59"/>
        <v>1445300</v>
      </c>
      <c r="BA179" s="94">
        <f t="shared" si="59"/>
        <v>1552500</v>
      </c>
      <c r="BB179" s="95"/>
    </row>
    <row r="180" spans="1:54" ht="15.6" hidden="1" customHeight="1" x14ac:dyDescent="0.3">
      <c r="A180" s="50"/>
      <c r="B180" s="50"/>
      <c r="C180" s="50"/>
      <c r="D180" s="50" t="s">
        <v>197</v>
      </c>
      <c r="E180" s="50"/>
      <c r="F180" s="50"/>
      <c r="G180" s="50"/>
      <c r="H180" s="51">
        <v>3838.17</v>
      </c>
      <c r="I180" s="51">
        <v>-7360.71</v>
      </c>
      <c r="J180" s="51">
        <v>-12262.78</v>
      </c>
      <c r="K180" s="51">
        <v>-15312.76</v>
      </c>
      <c r="L180" s="51">
        <v>-7089.43</v>
      </c>
      <c r="M180" s="51">
        <v>-12210.57</v>
      </c>
      <c r="N180" s="51">
        <v>-30666.5</v>
      </c>
      <c r="O180" s="51">
        <v>-22606.21</v>
      </c>
      <c r="P180" s="51">
        <v>-54477.599999999999</v>
      </c>
      <c r="Q180" s="51">
        <v>-43909.78</v>
      </c>
      <c r="R180" s="51">
        <v>9284.9</v>
      </c>
      <c r="S180" s="51">
        <v>-10762.94</v>
      </c>
      <c r="T180" s="51"/>
      <c r="U180" s="51">
        <f t="shared" si="58"/>
        <v>-203536.21</v>
      </c>
      <c r="V180" s="51">
        <v>0</v>
      </c>
      <c r="W180" s="51">
        <v>0</v>
      </c>
      <c r="X180" s="68" t="s">
        <v>206</v>
      </c>
      <c r="AB180" s="86" t="s">
        <v>7</v>
      </c>
      <c r="AC180" s="86"/>
      <c r="AD180" s="86"/>
      <c r="AE180" s="86"/>
      <c r="AF180" s="86"/>
      <c r="AG180" s="86"/>
      <c r="AH180" s="87"/>
      <c r="AI180" s="87"/>
      <c r="AJ180" s="87"/>
      <c r="AK180" s="87"/>
      <c r="AL180" s="87">
        <f t="shared" ref="AL180:AW180" si="60">ROUND(AL2+AL39-AL179,5)</f>
        <v>-8841.0400000000009</v>
      </c>
      <c r="AM180" s="87">
        <f t="shared" si="60"/>
        <v>-10879.27</v>
      </c>
      <c r="AN180" s="87">
        <f t="shared" si="60"/>
        <v>-2325.44</v>
      </c>
      <c r="AO180" s="87">
        <f t="shared" si="60"/>
        <v>43497.59</v>
      </c>
      <c r="AP180" s="87">
        <f t="shared" si="60"/>
        <v>-13444.18</v>
      </c>
      <c r="AQ180" s="87">
        <f t="shared" si="60"/>
        <v>210923.04</v>
      </c>
      <c r="AR180" s="87">
        <f t="shared" si="60"/>
        <v>211891.47</v>
      </c>
      <c r="AS180" s="87">
        <f t="shared" si="60"/>
        <v>26678.65</v>
      </c>
      <c r="AT180" s="87">
        <f t="shared" si="60"/>
        <v>17447.71</v>
      </c>
      <c r="AU180" s="87">
        <f t="shared" si="60"/>
        <v>44297.38</v>
      </c>
      <c r="AV180" s="87">
        <f t="shared" si="60"/>
        <v>172821.62</v>
      </c>
      <c r="AW180" s="87">
        <f t="shared" si="60"/>
        <v>16430.13</v>
      </c>
      <c r="AX180" s="87"/>
      <c r="AY180" s="88">
        <f>ROUND(SUM(AH180:AX180),5)</f>
        <v>708497.66</v>
      </c>
      <c r="AZ180" s="88">
        <f>ROUND(AZ2+AZ39-AZ179,5)</f>
        <v>-366500</v>
      </c>
      <c r="BA180" s="88">
        <f>ROUND(BA2+BA39-BA179,5)</f>
        <v>-351500</v>
      </c>
      <c r="BB180" s="89"/>
    </row>
    <row r="181" spans="1:54" ht="13.2" hidden="1" customHeight="1" thickBot="1" x14ac:dyDescent="0.35">
      <c r="A181" s="50"/>
      <c r="B181" s="50"/>
      <c r="C181" s="50"/>
      <c r="D181" s="50" t="s">
        <v>280</v>
      </c>
      <c r="E181" s="50"/>
      <c r="F181" s="50"/>
      <c r="G181" s="50"/>
      <c r="H181" s="51">
        <v>0</v>
      </c>
      <c r="I181" s="51">
        <v>0</v>
      </c>
      <c r="J181" s="51">
        <v>0</v>
      </c>
      <c r="K181" s="51">
        <v>0</v>
      </c>
      <c r="L181" s="51">
        <v>0</v>
      </c>
      <c r="M181" s="51">
        <v>0</v>
      </c>
      <c r="N181" s="51">
        <v>0</v>
      </c>
      <c r="O181" s="51">
        <v>0</v>
      </c>
      <c r="P181" s="51">
        <v>0</v>
      </c>
      <c r="Q181" s="51">
        <v>0</v>
      </c>
      <c r="R181" s="51">
        <v>0</v>
      </c>
      <c r="S181" s="51">
        <v>0</v>
      </c>
      <c r="T181" s="51"/>
      <c r="U181" s="51">
        <f t="shared" si="58"/>
        <v>0</v>
      </c>
      <c r="V181" s="51">
        <v>0</v>
      </c>
      <c r="W181" s="51">
        <v>0</v>
      </c>
      <c r="X181" s="68" t="s">
        <v>206</v>
      </c>
      <c r="AB181" s="86"/>
      <c r="AC181" s="86" t="s">
        <v>8</v>
      </c>
      <c r="AD181" s="86"/>
      <c r="AE181" s="86"/>
      <c r="AF181" s="86"/>
      <c r="AG181" s="86"/>
      <c r="AH181" s="87"/>
      <c r="AI181" s="87"/>
      <c r="AJ181" s="87"/>
      <c r="AK181" s="87"/>
      <c r="AL181" s="87"/>
      <c r="AM181" s="87"/>
      <c r="AN181" s="87"/>
      <c r="AO181" s="87"/>
      <c r="AP181" s="87"/>
      <c r="AQ181" s="87"/>
      <c r="AR181" s="87"/>
      <c r="AS181" s="87"/>
      <c r="AT181" s="87"/>
      <c r="AU181" s="87"/>
      <c r="AV181" s="87"/>
      <c r="AW181" s="87"/>
      <c r="AX181" s="87"/>
      <c r="AY181" s="88"/>
      <c r="AZ181" s="88"/>
      <c r="BA181" s="88"/>
      <c r="BB181" s="89"/>
    </row>
    <row r="182" spans="1:54" ht="15" hidden="1" thickBot="1" x14ac:dyDescent="0.35">
      <c r="A182" s="50"/>
      <c r="B182" s="50"/>
      <c r="C182" s="50" t="s">
        <v>9</v>
      </c>
      <c r="D182" s="50"/>
      <c r="E182" s="50"/>
      <c r="F182" s="50"/>
      <c r="G182" s="50"/>
      <c r="H182" s="54">
        <f t="shared" ref="H182:P182" si="61">ROUND(SUM(H178:H181),5)</f>
        <v>4326.8599999999997</v>
      </c>
      <c r="I182" s="54">
        <f t="shared" si="61"/>
        <v>-7360.71</v>
      </c>
      <c r="J182" s="54">
        <f t="shared" si="61"/>
        <v>-12262.78</v>
      </c>
      <c r="K182" s="54">
        <f t="shared" si="61"/>
        <v>-15312.76</v>
      </c>
      <c r="L182" s="54">
        <f t="shared" si="61"/>
        <v>-7089.43</v>
      </c>
      <c r="M182" s="54">
        <f t="shared" si="61"/>
        <v>-12210.57</v>
      </c>
      <c r="N182" s="54">
        <f t="shared" si="61"/>
        <v>-29460.3</v>
      </c>
      <c r="O182" s="54">
        <f t="shared" si="61"/>
        <v>-22606.21</v>
      </c>
      <c r="P182" s="54">
        <f t="shared" si="61"/>
        <v>-54477.599999999999</v>
      </c>
      <c r="Q182" s="54">
        <f>ROUND(SUM(Q178:Q181),5)</f>
        <v>-43909.78</v>
      </c>
      <c r="R182" s="54">
        <f>ROUND(SUM(R178:R181),5)</f>
        <v>9284.9</v>
      </c>
      <c r="S182" s="54">
        <f>ROUND(SUM(S178:S181),5)</f>
        <v>-10762.94</v>
      </c>
      <c r="T182" s="54"/>
      <c r="U182" s="54">
        <f t="shared" si="58"/>
        <v>-201841.32</v>
      </c>
      <c r="V182" s="54">
        <f>ROUND(SUM(V178:V181),5)</f>
        <v>0</v>
      </c>
      <c r="W182" s="54">
        <f>ROUND(SUM(W178:W181),5)</f>
        <v>0</v>
      </c>
      <c r="AB182" s="86"/>
      <c r="AC182" s="86"/>
      <c r="AD182" s="86" t="s">
        <v>196</v>
      </c>
      <c r="AE182" s="86"/>
      <c r="AF182" s="86"/>
      <c r="AG182" s="86"/>
      <c r="AH182" s="87"/>
      <c r="AI182" s="87"/>
      <c r="AJ182" s="87"/>
      <c r="AK182" s="87"/>
      <c r="AL182" s="87"/>
      <c r="AM182" s="87"/>
      <c r="AN182" s="87"/>
      <c r="AO182" s="87"/>
      <c r="AP182" s="87"/>
      <c r="AQ182" s="87"/>
      <c r="AR182" s="87"/>
      <c r="AS182" s="87"/>
      <c r="AT182" s="87"/>
      <c r="AU182" s="87"/>
      <c r="AV182" s="87"/>
      <c r="AW182" s="87"/>
      <c r="AX182" s="87"/>
      <c r="AY182" s="88"/>
      <c r="AZ182" s="88"/>
      <c r="BA182" s="88"/>
      <c r="BB182" s="89"/>
    </row>
    <row r="183" spans="1:54" ht="22.2" hidden="1" thickBot="1" x14ac:dyDescent="0.35">
      <c r="A183" s="50"/>
      <c r="B183" s="50" t="s">
        <v>10</v>
      </c>
      <c r="C183" s="50"/>
      <c r="D183" s="50"/>
      <c r="E183" s="50"/>
      <c r="F183" s="50"/>
      <c r="G183" s="50"/>
      <c r="H183" s="54">
        <f t="shared" ref="H183:P183" si="62">ROUND(H177+H182,5)</f>
        <v>4326.8599999999997</v>
      </c>
      <c r="I183" s="54">
        <f t="shared" si="62"/>
        <v>-7360.71</v>
      </c>
      <c r="J183" s="54">
        <f t="shared" si="62"/>
        <v>-12262.78</v>
      </c>
      <c r="K183" s="54">
        <f t="shared" si="62"/>
        <v>-15312.76</v>
      </c>
      <c r="L183" s="54">
        <f t="shared" si="62"/>
        <v>-7089.43</v>
      </c>
      <c r="M183" s="54">
        <f t="shared" si="62"/>
        <v>-12210.57</v>
      </c>
      <c r="N183" s="54">
        <f t="shared" si="62"/>
        <v>-29460.3</v>
      </c>
      <c r="O183" s="54">
        <f t="shared" si="62"/>
        <v>-22606.21</v>
      </c>
      <c r="P183" s="54">
        <f t="shared" si="62"/>
        <v>-54477.599999999999</v>
      </c>
      <c r="Q183" s="54">
        <f>ROUND(Q177+Q182,5)</f>
        <v>-43909.78</v>
      </c>
      <c r="R183" s="54">
        <f>ROUND(R177+R182,5)</f>
        <v>9284.9</v>
      </c>
      <c r="S183" s="54">
        <f>ROUND(S177+S182,5)</f>
        <v>-10762.94</v>
      </c>
      <c r="T183" s="54"/>
      <c r="U183" s="54">
        <f t="shared" si="58"/>
        <v>-201841.32</v>
      </c>
      <c r="V183" s="54">
        <f>ROUND(V177+V182,5)</f>
        <v>0</v>
      </c>
      <c r="W183" s="54">
        <f>ROUND(W177+W182,5)</f>
        <v>0</v>
      </c>
      <c r="AB183" s="86"/>
      <c r="AC183" s="86"/>
      <c r="AD183" s="86" t="s">
        <v>197</v>
      </c>
      <c r="AE183" s="86"/>
      <c r="AF183" s="86"/>
      <c r="AG183" s="86"/>
      <c r="AH183" s="87"/>
      <c r="AI183" s="87"/>
      <c r="AJ183" s="87"/>
      <c r="AK183" s="87"/>
      <c r="AL183" s="87">
        <v>0</v>
      </c>
      <c r="AM183" s="87">
        <v>0</v>
      </c>
      <c r="AN183" s="87">
        <v>0</v>
      </c>
      <c r="AO183" s="87">
        <v>0</v>
      </c>
      <c r="AP183" s="87">
        <v>0</v>
      </c>
      <c r="AQ183" s="87">
        <v>0</v>
      </c>
      <c r="AR183" s="87">
        <v>2768.64</v>
      </c>
      <c r="AS183" s="87">
        <v>0</v>
      </c>
      <c r="AT183" s="87">
        <v>0</v>
      </c>
      <c r="AU183" s="87">
        <v>0</v>
      </c>
      <c r="AV183" s="87">
        <v>0</v>
      </c>
      <c r="AW183" s="87">
        <v>0</v>
      </c>
      <c r="AX183" s="87"/>
      <c r="AY183" s="88">
        <f>ROUND(SUM(AH183:AX183),5)</f>
        <v>2768.64</v>
      </c>
      <c r="AZ183" s="88">
        <v>0</v>
      </c>
      <c r="BA183" s="88">
        <v>0</v>
      </c>
      <c r="BB183" s="89" t="s">
        <v>206</v>
      </c>
    </row>
    <row r="184" spans="1:54" ht="22.2" hidden="1" thickBot="1" x14ac:dyDescent="0.35">
      <c r="A184" s="50" t="s">
        <v>11</v>
      </c>
      <c r="B184" s="50"/>
      <c r="C184" s="50"/>
      <c r="D184" s="50"/>
      <c r="E184" s="50"/>
      <c r="F184" s="50"/>
      <c r="G184" s="50"/>
      <c r="H184" s="55">
        <f t="shared" ref="H184:P184" si="63">ROUND(H176+H183,5)</f>
        <v>24972.79</v>
      </c>
      <c r="I184" s="55">
        <f t="shared" si="63"/>
        <v>-28495.56</v>
      </c>
      <c r="J184" s="55">
        <f t="shared" si="63"/>
        <v>38740.58</v>
      </c>
      <c r="K184" s="55">
        <f t="shared" si="63"/>
        <v>11335.13</v>
      </c>
      <c r="L184" s="55">
        <f t="shared" si="63"/>
        <v>-18880.61</v>
      </c>
      <c r="M184" s="55">
        <f t="shared" si="63"/>
        <v>229859.34</v>
      </c>
      <c r="N184" s="55">
        <f t="shared" si="63"/>
        <v>131497.29</v>
      </c>
      <c r="O184" s="55">
        <f t="shared" si="63"/>
        <v>-7491.57</v>
      </c>
      <c r="P184" s="55">
        <f t="shared" si="63"/>
        <v>-373401.36</v>
      </c>
      <c r="Q184" s="55">
        <f>ROUND(Q176+Q183,5)</f>
        <v>2505.31</v>
      </c>
      <c r="R184" s="55">
        <f>ROUND(R176+R183,5)</f>
        <v>-14589.74</v>
      </c>
      <c r="S184" s="55">
        <f>ROUND(S176+S183,5)</f>
        <v>-422525.19</v>
      </c>
      <c r="T184" s="55"/>
      <c r="U184" s="55">
        <f t="shared" si="58"/>
        <v>-426473.59</v>
      </c>
      <c r="V184" s="55">
        <f>ROUND(V176+V183,5)</f>
        <v>-351500</v>
      </c>
      <c r="W184" s="55">
        <f>ROUND(W176+W183,5)</f>
        <v>0</v>
      </c>
      <c r="AB184" s="86"/>
      <c r="AC184" s="86" t="s">
        <v>9</v>
      </c>
      <c r="AD184" s="86"/>
      <c r="AE184" s="86"/>
      <c r="AF184" s="86"/>
      <c r="AG184" s="86"/>
      <c r="AH184" s="87"/>
      <c r="AI184" s="87"/>
      <c r="AJ184" s="87"/>
      <c r="AK184" s="87"/>
      <c r="AL184" s="87">
        <v>3379.65</v>
      </c>
      <c r="AM184" s="87">
        <v>-3012.35</v>
      </c>
      <c r="AN184" s="87">
        <v>-3352.29</v>
      </c>
      <c r="AO184" s="87">
        <v>-8759.74</v>
      </c>
      <c r="AP184" s="87">
        <v>2275.2600000000002</v>
      </c>
      <c r="AQ184" s="87">
        <v>-9141.42</v>
      </c>
      <c r="AR184" s="87">
        <v>-5290.7</v>
      </c>
      <c r="AS184" s="87">
        <v>-9875.18</v>
      </c>
      <c r="AT184" s="87">
        <v>-10281.08</v>
      </c>
      <c r="AU184" s="87">
        <v>-4192.53</v>
      </c>
      <c r="AV184" s="87">
        <v>11137.13</v>
      </c>
      <c r="AW184" s="87">
        <v>-416.52</v>
      </c>
      <c r="AX184" s="87"/>
      <c r="AY184" s="88">
        <f>ROUND(SUM(AH184:AX184),5)</f>
        <v>-37529.769999999997</v>
      </c>
      <c r="AZ184" s="88">
        <v>0</v>
      </c>
      <c r="BA184" s="88">
        <v>0</v>
      </c>
      <c r="BB184" s="89" t="s">
        <v>206</v>
      </c>
    </row>
    <row r="185" spans="1:54" ht="15.6" hidden="1" thickTop="1" thickBot="1" x14ac:dyDescent="0.35">
      <c r="AB185" s="86" t="s">
        <v>10</v>
      </c>
      <c r="AC185" s="86"/>
      <c r="AD185" s="86"/>
      <c r="AE185" s="86"/>
      <c r="AF185" s="86"/>
      <c r="AG185" s="86"/>
      <c r="AH185" s="96"/>
      <c r="AI185" s="96"/>
      <c r="AJ185" s="96"/>
      <c r="AK185" s="96"/>
      <c r="AL185" s="96">
        <f t="shared" ref="AL185:AW185" si="64">ROUND(SUM(AL182:AL184),5)</f>
        <v>3379.65</v>
      </c>
      <c r="AM185" s="96">
        <f t="shared" si="64"/>
        <v>-3012.35</v>
      </c>
      <c r="AN185" s="96">
        <f t="shared" si="64"/>
        <v>-3352.29</v>
      </c>
      <c r="AO185" s="96">
        <f t="shared" si="64"/>
        <v>-8759.74</v>
      </c>
      <c r="AP185" s="96">
        <f t="shared" si="64"/>
        <v>2275.2600000000002</v>
      </c>
      <c r="AQ185" s="96">
        <f t="shared" si="64"/>
        <v>-9141.42</v>
      </c>
      <c r="AR185" s="96">
        <f t="shared" si="64"/>
        <v>-2522.06</v>
      </c>
      <c r="AS185" s="96">
        <f t="shared" si="64"/>
        <v>-9875.18</v>
      </c>
      <c r="AT185" s="96">
        <f t="shared" si="64"/>
        <v>-10281.08</v>
      </c>
      <c r="AU185" s="96">
        <f t="shared" si="64"/>
        <v>-4192.53</v>
      </c>
      <c r="AV185" s="96">
        <f t="shared" si="64"/>
        <v>11137.13</v>
      </c>
      <c r="AW185" s="96">
        <f t="shared" si="64"/>
        <v>-416.52</v>
      </c>
      <c r="AX185" s="96"/>
      <c r="AY185" s="97">
        <f>ROUND(SUM(AH185:AX185),5)</f>
        <v>-34761.129999999997</v>
      </c>
      <c r="AZ185" s="97">
        <f>ROUND(SUM(AZ182:AZ184),5)</f>
        <v>0</v>
      </c>
      <c r="BA185" s="97">
        <f>ROUND(SUM(BA182:BA184),5)</f>
        <v>0</v>
      </c>
      <c r="BB185" s="98"/>
    </row>
    <row r="186" spans="1:54" ht="15" thickBot="1" x14ac:dyDescent="0.35">
      <c r="AB186" s="86"/>
      <c r="AC186" s="86"/>
      <c r="AD186" s="86"/>
      <c r="AE186" s="86"/>
      <c r="AF186" s="86"/>
      <c r="AG186" s="86"/>
      <c r="AH186" s="96"/>
      <c r="AI186" s="96"/>
      <c r="AJ186" s="96"/>
      <c r="AK186" s="96"/>
      <c r="AL186" s="96">
        <f t="shared" ref="AL186:AW186" si="65">ROUND(AL181+AL185,5)</f>
        <v>3379.65</v>
      </c>
      <c r="AM186" s="96">
        <f t="shared" si="65"/>
        <v>-3012.35</v>
      </c>
      <c r="AN186" s="96">
        <f t="shared" si="65"/>
        <v>-3352.29</v>
      </c>
      <c r="AO186" s="96">
        <f t="shared" si="65"/>
        <v>-8759.74</v>
      </c>
      <c r="AP186" s="96">
        <f t="shared" si="65"/>
        <v>2275.2600000000002</v>
      </c>
      <c r="AQ186" s="96">
        <f t="shared" si="65"/>
        <v>-9141.42</v>
      </c>
      <c r="AR186" s="96">
        <f t="shared" si="65"/>
        <v>-2522.06</v>
      </c>
      <c r="AS186" s="96">
        <f t="shared" si="65"/>
        <v>-9875.18</v>
      </c>
      <c r="AT186" s="96">
        <f t="shared" si="65"/>
        <v>-10281.08</v>
      </c>
      <c r="AU186" s="96">
        <f t="shared" si="65"/>
        <v>-4192.53</v>
      </c>
      <c r="AV186" s="96">
        <f t="shared" si="65"/>
        <v>11137.13</v>
      </c>
      <c r="AW186" s="96">
        <f t="shared" si="65"/>
        <v>-416.52</v>
      </c>
      <c r="AX186" s="96"/>
      <c r="AY186" s="97">
        <f>ROUND(SUM(AH186:AX186),5)</f>
        <v>-34761.129999999997</v>
      </c>
      <c r="AZ186" s="97">
        <f>ROUND(AZ181+AZ185,5)</f>
        <v>0</v>
      </c>
      <c r="BA186" s="97">
        <f>ROUND(BA181+BA185,5)</f>
        <v>0</v>
      </c>
      <c r="BB186" s="98"/>
    </row>
    <row r="187" spans="1:54" ht="15" thickBot="1" x14ac:dyDescent="0.35">
      <c r="AF187" s="86"/>
      <c r="AG187" s="86"/>
      <c r="AH187" s="106"/>
      <c r="AI187" s="106"/>
      <c r="AJ187" s="106"/>
      <c r="AK187" s="106"/>
      <c r="AL187" s="106">
        <f t="shared" ref="AL187:AW187" si="66">ROUND(AL180+AL186,5)</f>
        <v>-5461.39</v>
      </c>
      <c r="AM187" s="106">
        <f t="shared" si="66"/>
        <v>-13891.62</v>
      </c>
      <c r="AN187" s="106">
        <f t="shared" si="66"/>
        <v>-5677.73</v>
      </c>
      <c r="AO187" s="106">
        <f t="shared" si="66"/>
        <v>34737.85</v>
      </c>
      <c r="AP187" s="106">
        <f t="shared" si="66"/>
        <v>-11168.92</v>
      </c>
      <c r="AQ187" s="106">
        <f t="shared" si="66"/>
        <v>201781.62</v>
      </c>
      <c r="AR187" s="106">
        <f t="shared" si="66"/>
        <v>209369.41</v>
      </c>
      <c r="AS187" s="106">
        <f t="shared" si="66"/>
        <v>16803.47</v>
      </c>
      <c r="AT187" s="106">
        <f t="shared" si="66"/>
        <v>7166.63</v>
      </c>
      <c r="AU187" s="106">
        <f t="shared" si="66"/>
        <v>40104.85</v>
      </c>
      <c r="AV187" s="106">
        <f t="shared" si="66"/>
        <v>183958.75</v>
      </c>
      <c r="AW187" s="106">
        <f t="shared" si="66"/>
        <v>16013.61</v>
      </c>
      <c r="AX187" s="106"/>
      <c r="AY187" s="107">
        <f>ROUND(SUM(AH187:AX187),5)</f>
        <v>673736.53</v>
      </c>
      <c r="AZ187" s="107">
        <f>ROUND(AZ180+AZ186,5)</f>
        <v>-366500</v>
      </c>
      <c r="BA187" s="107">
        <f>ROUND(BA180+BA186,5)</f>
        <v>-351500</v>
      </c>
      <c r="BB187" s="108"/>
    </row>
    <row r="188" spans="1:54" ht="15" thickTop="1" x14ac:dyDescent="0.3"/>
  </sheetData>
  <printOptions horizontalCentered="1"/>
  <pageMargins left="0.7" right="0.7" top="0.75" bottom="0.75" header="0.1" footer="0.3"/>
  <pageSetup orientation="portrait" horizontalDpi="0" verticalDpi="0" r:id="rId1"/>
  <headerFooter>
    <oddHeader>&amp;C&amp;"Arial,Bold"&amp;12 Temecula Public Cemetery District
&amp;14Approved Budget
22-23</oddHeader>
    <oddFooter>&amp;R&amp;"Arial,Bold"&amp;8 Page &amp;P of &amp;N</oddFooter>
  </headerFooter>
  <drawing r:id="rId2"/>
  <legacyDrawing r:id="rId3"/>
  <controls>
    <mc:AlternateContent xmlns:mc="http://schemas.openxmlformats.org/markup-compatibility/2006">
      <mc:Choice Requires="x14">
        <control shapeId="155650" r:id="rId4" name="HEADER">
          <controlPr defaultSize="0" autoLine="0" r:id="rId5">
            <anchor moveWithCells="1">
              <from>
                <xdr:col>0</xdr:col>
                <xdr:colOff>0</xdr:colOff>
                <xdr:row>0</xdr:row>
                <xdr:rowOff>0</xdr:rowOff>
              </from>
              <to>
                <xdr:col>4</xdr:col>
                <xdr:colOff>68580</xdr:colOff>
                <xdr:row>0</xdr:row>
                <xdr:rowOff>236220</xdr:rowOff>
              </to>
            </anchor>
          </controlPr>
        </control>
      </mc:Choice>
      <mc:Fallback>
        <control shapeId="155650" r:id="rId4" name="HEADER"/>
      </mc:Fallback>
    </mc:AlternateContent>
    <mc:AlternateContent xmlns:mc="http://schemas.openxmlformats.org/markup-compatibility/2006">
      <mc:Choice Requires="x14">
        <control shapeId="155649" r:id="rId6" name="FILTER">
          <controlPr defaultSize="0" autoLine="0" r:id="rId7">
            <anchor moveWithCells="1">
              <from>
                <xdr:col>0</xdr:col>
                <xdr:colOff>0</xdr:colOff>
                <xdr:row>0</xdr:row>
                <xdr:rowOff>0</xdr:rowOff>
              </from>
              <to>
                <xdr:col>4</xdr:col>
                <xdr:colOff>68580</xdr:colOff>
                <xdr:row>0</xdr:row>
                <xdr:rowOff>236220</xdr:rowOff>
              </to>
            </anchor>
          </controlPr>
        </control>
      </mc:Choice>
      <mc:Fallback>
        <control shapeId="155649" r:id="rId6" name="FILTER"/>
      </mc:Fallback>
    </mc:AlternateContent>
  </control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8A126-3EDF-4712-A39A-8C17BD6AAD82}">
  <sheetPr codeName="Sheet1"/>
  <dimension ref="A1:T144"/>
  <sheetViews>
    <sheetView workbookViewId="0">
      <pane xSplit="7" ySplit="1" topLeftCell="H2" activePane="bottomRight" state="frozenSplit"/>
      <selection pane="topRight" activeCell="H1" sqref="H1"/>
      <selection pane="bottomLeft" activeCell="A2" sqref="A2"/>
      <selection pane="bottomRight" activeCell="G34" sqref="G34"/>
    </sheetView>
  </sheetViews>
  <sheetFormatPr defaultRowHeight="14.4" x14ac:dyDescent="0.3"/>
  <cols>
    <col min="1" max="6" width="3" style="56" customWidth="1"/>
    <col min="7" max="7" width="30.5546875" style="56" customWidth="1"/>
    <col min="8" max="8" width="7.109375" bestFit="1" customWidth="1"/>
    <col min="9" max="10" width="7.88671875" bestFit="1" customWidth="1"/>
    <col min="11" max="11" width="7.109375" bestFit="1" customWidth="1"/>
    <col min="12" max="15" width="7.5546875" bestFit="1" customWidth="1"/>
    <col min="16" max="17" width="7.88671875" bestFit="1" customWidth="1"/>
    <col min="18" max="18" width="7.5546875" bestFit="1" customWidth="1"/>
    <col min="19" max="19" width="8.33203125" bestFit="1" customWidth="1"/>
    <col min="20" max="20" width="9.109375" bestFit="1" customWidth="1"/>
  </cols>
  <sheetData>
    <row r="1" spans="1:20" s="1" customFormat="1" ht="15" thickBot="1" x14ac:dyDescent="0.35">
      <c r="A1" s="48"/>
      <c r="B1" s="48"/>
      <c r="C1" s="48"/>
      <c r="D1" s="48"/>
      <c r="E1" s="48"/>
      <c r="F1" s="48"/>
      <c r="G1" s="48"/>
      <c r="H1" s="49" t="s">
        <v>260</v>
      </c>
      <c r="I1" s="49" t="s">
        <v>264</v>
      </c>
      <c r="J1" s="49" t="s">
        <v>265</v>
      </c>
      <c r="K1" s="49" t="s">
        <v>266</v>
      </c>
      <c r="L1" s="49" t="s">
        <v>267</v>
      </c>
      <c r="M1" s="49" t="s">
        <v>268</v>
      </c>
      <c r="N1" s="49" t="s">
        <v>269</v>
      </c>
      <c r="O1" s="49" t="s">
        <v>270</v>
      </c>
      <c r="P1" s="49" t="s">
        <v>271</v>
      </c>
      <c r="Q1" s="49" t="s">
        <v>272</v>
      </c>
      <c r="R1" s="49" t="s">
        <v>273</v>
      </c>
      <c r="S1" s="49" t="s">
        <v>274</v>
      </c>
      <c r="T1" s="49" t="s">
        <v>0</v>
      </c>
    </row>
    <row r="2" spans="1:20" ht="15" thickTop="1" x14ac:dyDescent="0.3">
      <c r="A2" s="50"/>
      <c r="B2" s="50" t="s">
        <v>1</v>
      </c>
      <c r="C2" s="50"/>
      <c r="D2" s="50"/>
      <c r="E2" s="50"/>
      <c r="F2" s="50"/>
      <c r="G2" s="50"/>
      <c r="H2" s="51"/>
      <c r="I2" s="51"/>
      <c r="J2" s="51"/>
      <c r="K2" s="51"/>
      <c r="L2" s="51"/>
      <c r="M2" s="51"/>
      <c r="N2" s="51"/>
      <c r="O2" s="51"/>
      <c r="P2" s="51"/>
      <c r="Q2" s="51"/>
      <c r="R2" s="51"/>
      <c r="S2" s="51"/>
      <c r="T2" s="51"/>
    </row>
    <row r="3" spans="1:20" x14ac:dyDescent="0.3">
      <c r="A3" s="50"/>
      <c r="B3" s="50"/>
      <c r="C3" s="50"/>
      <c r="D3" s="50" t="s">
        <v>2</v>
      </c>
      <c r="E3" s="50"/>
      <c r="F3" s="50"/>
      <c r="G3" s="50"/>
      <c r="H3" s="51"/>
      <c r="I3" s="51"/>
      <c r="J3" s="51"/>
      <c r="K3" s="51"/>
      <c r="L3" s="51"/>
      <c r="M3" s="51"/>
      <c r="N3" s="51"/>
      <c r="O3" s="51"/>
      <c r="P3" s="51"/>
      <c r="Q3" s="51"/>
      <c r="R3" s="51"/>
      <c r="S3" s="51"/>
      <c r="T3" s="51"/>
    </row>
    <row r="4" spans="1:20" x14ac:dyDescent="0.3">
      <c r="A4" s="50"/>
      <c r="B4" s="50"/>
      <c r="C4" s="50"/>
      <c r="D4" s="50"/>
      <c r="E4" s="50" t="s">
        <v>74</v>
      </c>
      <c r="F4" s="50"/>
      <c r="G4" s="50"/>
      <c r="H4" s="51"/>
      <c r="I4" s="51"/>
      <c r="J4" s="51"/>
      <c r="K4" s="51"/>
      <c r="L4" s="51"/>
      <c r="M4" s="51"/>
      <c r="N4" s="51"/>
      <c r="O4" s="51"/>
      <c r="P4" s="51"/>
      <c r="Q4" s="51"/>
      <c r="R4" s="51"/>
      <c r="S4" s="51"/>
      <c r="T4" s="51"/>
    </row>
    <row r="5" spans="1:20" x14ac:dyDescent="0.3">
      <c r="A5" s="50"/>
      <c r="B5" s="50"/>
      <c r="C5" s="50"/>
      <c r="D5" s="50"/>
      <c r="E5" s="50"/>
      <c r="F5" s="50" t="s">
        <v>75</v>
      </c>
      <c r="G5" s="50"/>
      <c r="H5" s="51">
        <v>66007.55</v>
      </c>
      <c r="I5" s="51">
        <v>201866.14</v>
      </c>
      <c r="J5" s="51">
        <v>16877</v>
      </c>
      <c r="K5" s="51">
        <v>0</v>
      </c>
      <c r="L5" s="51">
        <v>0</v>
      </c>
      <c r="M5" s="51">
        <v>0</v>
      </c>
      <c r="N5" s="51">
        <v>10434.290000000001</v>
      </c>
      <c r="O5" s="51">
        <v>-1558.69</v>
      </c>
      <c r="P5" s="51">
        <v>207958.45</v>
      </c>
      <c r="Q5" s="51">
        <v>168614.58</v>
      </c>
      <c r="R5" s="51">
        <v>5630.34</v>
      </c>
      <c r="S5" s="51">
        <v>0</v>
      </c>
      <c r="T5" s="51">
        <f t="shared" ref="T5:T15" si="0">ROUND(SUM(H5:S5),5)</f>
        <v>675829.66</v>
      </c>
    </row>
    <row r="6" spans="1:20" x14ac:dyDescent="0.3">
      <c r="A6" s="50"/>
      <c r="B6" s="50"/>
      <c r="C6" s="50"/>
      <c r="D6" s="50"/>
      <c r="E6" s="50"/>
      <c r="F6" s="50" t="s">
        <v>76</v>
      </c>
      <c r="G6" s="50"/>
      <c r="H6" s="51">
        <v>0</v>
      </c>
      <c r="I6" s="51">
        <v>0</v>
      </c>
      <c r="J6" s="51">
        <v>2000</v>
      </c>
      <c r="K6" s="51">
        <v>0</v>
      </c>
      <c r="L6" s="51">
        <v>2255.1999999999998</v>
      </c>
      <c r="M6" s="51">
        <v>0</v>
      </c>
      <c r="N6" s="51">
        <v>28316.05</v>
      </c>
      <c r="O6" s="51">
        <v>0</v>
      </c>
      <c r="P6" s="51">
        <v>0</v>
      </c>
      <c r="Q6" s="51">
        <v>0</v>
      </c>
      <c r="R6" s="51">
        <v>0</v>
      </c>
      <c r="S6" s="51">
        <v>4147.16</v>
      </c>
      <c r="T6" s="51">
        <f t="shared" si="0"/>
        <v>36718.410000000003</v>
      </c>
    </row>
    <row r="7" spans="1:20" x14ac:dyDescent="0.3">
      <c r="A7" s="50"/>
      <c r="B7" s="50"/>
      <c r="C7" s="50"/>
      <c r="D7" s="50"/>
      <c r="E7" s="50"/>
      <c r="F7" s="50" t="s">
        <v>275</v>
      </c>
      <c r="G7" s="50"/>
      <c r="H7" s="51">
        <v>0</v>
      </c>
      <c r="I7" s="51">
        <v>0</v>
      </c>
      <c r="J7" s="51">
        <v>0</v>
      </c>
      <c r="K7" s="51">
        <v>0</v>
      </c>
      <c r="L7" s="51">
        <v>-965.01</v>
      </c>
      <c r="M7" s="51">
        <v>0</v>
      </c>
      <c r="N7" s="51">
        <v>0</v>
      </c>
      <c r="O7" s="51">
        <v>0</v>
      </c>
      <c r="P7" s="51">
        <v>0</v>
      </c>
      <c r="Q7" s="51">
        <v>0</v>
      </c>
      <c r="R7" s="51">
        <v>0</v>
      </c>
      <c r="S7" s="51">
        <v>0</v>
      </c>
      <c r="T7" s="51">
        <f t="shared" si="0"/>
        <v>-965.01</v>
      </c>
    </row>
    <row r="8" spans="1:20" x14ac:dyDescent="0.3">
      <c r="A8" s="50"/>
      <c r="B8" s="50"/>
      <c r="C8" s="50"/>
      <c r="D8" s="50"/>
      <c r="E8" s="50"/>
      <c r="F8" s="50" t="s">
        <v>77</v>
      </c>
      <c r="G8" s="50"/>
      <c r="H8" s="51">
        <v>0</v>
      </c>
      <c r="I8" s="51">
        <v>4035.74</v>
      </c>
      <c r="J8" s="51">
        <v>3049</v>
      </c>
      <c r="K8" s="51">
        <v>0</v>
      </c>
      <c r="L8" s="51">
        <v>0</v>
      </c>
      <c r="M8" s="51">
        <v>0</v>
      </c>
      <c r="N8" s="51">
        <v>0</v>
      </c>
      <c r="O8" s="51">
        <v>0</v>
      </c>
      <c r="P8" s="51">
        <v>0</v>
      </c>
      <c r="Q8" s="51">
        <v>0</v>
      </c>
      <c r="R8" s="51">
        <v>0</v>
      </c>
      <c r="S8" s="51">
        <v>0</v>
      </c>
      <c r="T8" s="51">
        <f t="shared" si="0"/>
        <v>7084.74</v>
      </c>
    </row>
    <row r="9" spans="1:20" x14ac:dyDescent="0.3">
      <c r="A9" s="50"/>
      <c r="B9" s="50"/>
      <c r="C9" s="50"/>
      <c r="D9" s="50"/>
      <c r="E9" s="50"/>
      <c r="F9" s="50" t="s">
        <v>78</v>
      </c>
      <c r="G9" s="50"/>
      <c r="H9" s="51">
        <v>0</v>
      </c>
      <c r="I9" s="51">
        <v>579.12</v>
      </c>
      <c r="J9" s="51">
        <v>0</v>
      </c>
      <c r="K9" s="51">
        <v>0</v>
      </c>
      <c r="L9" s="51">
        <v>511.88</v>
      </c>
      <c r="M9" s="51">
        <v>0</v>
      </c>
      <c r="N9" s="51">
        <v>0</v>
      </c>
      <c r="O9" s="51">
        <v>0</v>
      </c>
      <c r="P9" s="51">
        <v>0</v>
      </c>
      <c r="Q9" s="51">
        <v>0</v>
      </c>
      <c r="R9" s="51">
        <v>8608.42</v>
      </c>
      <c r="S9" s="51">
        <v>1439.07</v>
      </c>
      <c r="T9" s="51">
        <f t="shared" si="0"/>
        <v>11138.49</v>
      </c>
    </row>
    <row r="10" spans="1:20" x14ac:dyDescent="0.3">
      <c r="A10" s="50"/>
      <c r="B10" s="50"/>
      <c r="C10" s="50"/>
      <c r="D10" s="50"/>
      <c r="E10" s="50"/>
      <c r="F10" s="50" t="s">
        <v>79</v>
      </c>
      <c r="G10" s="50"/>
      <c r="H10" s="51">
        <v>0</v>
      </c>
      <c r="I10" s="51">
        <v>0</v>
      </c>
      <c r="J10" s="51">
        <v>-4890</v>
      </c>
      <c r="K10" s="51">
        <v>0</v>
      </c>
      <c r="L10" s="51">
        <v>0</v>
      </c>
      <c r="M10" s="51">
        <v>0</v>
      </c>
      <c r="N10" s="51">
        <v>0</v>
      </c>
      <c r="O10" s="51">
        <v>0</v>
      </c>
      <c r="P10" s="51">
        <v>0</v>
      </c>
      <c r="Q10" s="51">
        <v>0</v>
      </c>
      <c r="R10" s="51">
        <v>0</v>
      </c>
      <c r="S10" s="51">
        <v>0</v>
      </c>
      <c r="T10" s="51">
        <f t="shared" si="0"/>
        <v>-4890</v>
      </c>
    </row>
    <row r="11" spans="1:20" x14ac:dyDescent="0.3">
      <c r="A11" s="50"/>
      <c r="B11" s="50"/>
      <c r="C11" s="50"/>
      <c r="D11" s="50"/>
      <c r="E11" s="50"/>
      <c r="F11" s="50" t="s">
        <v>80</v>
      </c>
      <c r="G11" s="50"/>
      <c r="H11" s="51">
        <v>0</v>
      </c>
      <c r="I11" s="51">
        <v>0</v>
      </c>
      <c r="J11" s="51">
        <v>48301</v>
      </c>
      <c r="K11" s="51">
        <v>0</v>
      </c>
      <c r="L11" s="51">
        <v>0</v>
      </c>
      <c r="M11" s="51">
        <v>0</v>
      </c>
      <c r="N11" s="51">
        <v>0</v>
      </c>
      <c r="O11" s="51">
        <v>0</v>
      </c>
      <c r="P11" s="51">
        <v>48208.65</v>
      </c>
      <c r="Q11" s="51">
        <v>0</v>
      </c>
      <c r="R11" s="51">
        <v>0</v>
      </c>
      <c r="S11" s="51">
        <v>0</v>
      </c>
      <c r="T11" s="51">
        <f t="shared" si="0"/>
        <v>96509.65</v>
      </c>
    </row>
    <row r="12" spans="1:20" x14ac:dyDescent="0.3">
      <c r="A12" s="50"/>
      <c r="B12" s="50"/>
      <c r="C12" s="50"/>
      <c r="D12" s="50"/>
      <c r="E12" s="50"/>
      <c r="F12" s="50" t="s">
        <v>81</v>
      </c>
      <c r="G12" s="50"/>
      <c r="H12" s="51">
        <v>0</v>
      </c>
      <c r="I12" s="51">
        <v>2204.91</v>
      </c>
      <c r="J12" s="51">
        <v>4023.37</v>
      </c>
      <c r="K12" s="51">
        <v>0</v>
      </c>
      <c r="L12" s="51">
        <v>0</v>
      </c>
      <c r="M12" s="51">
        <v>0</v>
      </c>
      <c r="N12" s="51">
        <v>0</v>
      </c>
      <c r="O12" s="51">
        <v>0</v>
      </c>
      <c r="P12" s="51">
        <v>934.92</v>
      </c>
      <c r="Q12" s="51">
        <v>2181.48</v>
      </c>
      <c r="R12" s="51">
        <v>0</v>
      </c>
      <c r="S12" s="51">
        <v>0</v>
      </c>
      <c r="T12" s="51">
        <f t="shared" si="0"/>
        <v>9344.68</v>
      </c>
    </row>
    <row r="13" spans="1:20" x14ac:dyDescent="0.3">
      <c r="A13" s="50"/>
      <c r="B13" s="50"/>
      <c r="C13" s="50"/>
      <c r="D13" s="50"/>
      <c r="E13" s="50"/>
      <c r="F13" s="50" t="s">
        <v>82</v>
      </c>
      <c r="G13" s="50"/>
      <c r="H13" s="51">
        <v>0</v>
      </c>
      <c r="I13" s="51">
        <v>5666.49</v>
      </c>
      <c r="J13" s="51">
        <v>0</v>
      </c>
      <c r="K13" s="51">
        <v>0</v>
      </c>
      <c r="L13" s="51">
        <v>-0.37</v>
      </c>
      <c r="M13" s="51">
        <v>0</v>
      </c>
      <c r="N13" s="51">
        <v>0</v>
      </c>
      <c r="O13" s="51">
        <v>0</v>
      </c>
      <c r="P13" s="51">
        <v>0</v>
      </c>
      <c r="Q13" s="51">
        <v>0</v>
      </c>
      <c r="R13" s="51">
        <v>0.43</v>
      </c>
      <c r="S13" s="51">
        <v>0</v>
      </c>
      <c r="T13" s="51">
        <f t="shared" si="0"/>
        <v>5666.55</v>
      </c>
    </row>
    <row r="14" spans="1:20" ht="15" thickBot="1" x14ac:dyDescent="0.35">
      <c r="A14" s="50"/>
      <c r="B14" s="50"/>
      <c r="C14" s="50"/>
      <c r="D14" s="50"/>
      <c r="E14" s="50"/>
      <c r="F14" s="50" t="s">
        <v>83</v>
      </c>
      <c r="G14" s="50"/>
      <c r="H14" s="52">
        <v>0</v>
      </c>
      <c r="I14" s="52">
        <v>0</v>
      </c>
      <c r="J14" s="52">
        <v>-115.63</v>
      </c>
      <c r="K14" s="52">
        <v>0</v>
      </c>
      <c r="L14" s="52">
        <v>0</v>
      </c>
      <c r="M14" s="52">
        <v>0</v>
      </c>
      <c r="N14" s="52">
        <v>0</v>
      </c>
      <c r="O14" s="52">
        <v>0</v>
      </c>
      <c r="P14" s="52">
        <v>0</v>
      </c>
      <c r="Q14" s="52">
        <v>0</v>
      </c>
      <c r="R14" s="52">
        <v>115.4</v>
      </c>
      <c r="S14" s="52">
        <v>0</v>
      </c>
      <c r="T14" s="52">
        <f t="shared" si="0"/>
        <v>-0.23</v>
      </c>
    </row>
    <row r="15" spans="1:20" x14ac:dyDescent="0.3">
      <c r="A15" s="50"/>
      <c r="B15" s="50"/>
      <c r="C15" s="50"/>
      <c r="D15" s="50"/>
      <c r="E15" s="50" t="s">
        <v>84</v>
      </c>
      <c r="F15" s="50"/>
      <c r="G15" s="50"/>
      <c r="H15" s="51">
        <f t="shared" ref="H15:S15" si="1">ROUND(SUM(H4:H14),5)</f>
        <v>66007.55</v>
      </c>
      <c r="I15" s="51">
        <f t="shared" si="1"/>
        <v>214352.4</v>
      </c>
      <c r="J15" s="51">
        <f t="shared" si="1"/>
        <v>69244.740000000005</v>
      </c>
      <c r="K15" s="51">
        <f t="shared" si="1"/>
        <v>0</v>
      </c>
      <c r="L15" s="51">
        <f t="shared" si="1"/>
        <v>1801.7</v>
      </c>
      <c r="M15" s="51">
        <f t="shared" si="1"/>
        <v>0</v>
      </c>
      <c r="N15" s="51">
        <f t="shared" si="1"/>
        <v>38750.339999999997</v>
      </c>
      <c r="O15" s="51">
        <f t="shared" si="1"/>
        <v>-1558.69</v>
      </c>
      <c r="P15" s="51">
        <f t="shared" si="1"/>
        <v>257102.02</v>
      </c>
      <c r="Q15" s="51">
        <f t="shared" si="1"/>
        <v>170796.06</v>
      </c>
      <c r="R15" s="51">
        <f t="shared" si="1"/>
        <v>14354.59</v>
      </c>
      <c r="S15" s="51">
        <f t="shared" si="1"/>
        <v>5586.23</v>
      </c>
      <c r="T15" s="51">
        <f t="shared" si="0"/>
        <v>836436.94</v>
      </c>
    </row>
    <row r="16" spans="1:20" x14ac:dyDescent="0.3">
      <c r="A16" s="50"/>
      <c r="B16" s="50"/>
      <c r="C16" s="50"/>
      <c r="D16" s="50"/>
      <c r="E16" s="50" t="s">
        <v>85</v>
      </c>
      <c r="F16" s="50"/>
      <c r="G16" s="50"/>
      <c r="H16" s="51"/>
      <c r="I16" s="51"/>
      <c r="J16" s="51"/>
      <c r="K16" s="51"/>
      <c r="L16" s="51"/>
      <c r="M16" s="51"/>
      <c r="N16" s="51"/>
      <c r="O16" s="51"/>
      <c r="P16" s="51"/>
      <c r="Q16" s="51"/>
      <c r="R16" s="51"/>
      <c r="S16" s="51"/>
      <c r="T16" s="51"/>
    </row>
    <row r="17" spans="1:20" x14ac:dyDescent="0.3">
      <c r="A17" s="50"/>
      <c r="B17" s="50"/>
      <c r="C17" s="50"/>
      <c r="D17" s="50"/>
      <c r="E17" s="50"/>
      <c r="F17" s="50" t="s">
        <v>86</v>
      </c>
      <c r="G17" s="50"/>
      <c r="H17" s="51">
        <v>381.98</v>
      </c>
      <c r="I17" s="51">
        <v>432.36</v>
      </c>
      <c r="J17" s="51">
        <v>432.04</v>
      </c>
      <c r="K17" s="51">
        <v>518.41</v>
      </c>
      <c r="L17" s="51">
        <v>535.54999999999995</v>
      </c>
      <c r="M17" s="51">
        <v>500.23</v>
      </c>
      <c r="N17" s="51">
        <v>420.94</v>
      </c>
      <c r="O17" s="51">
        <v>405.16</v>
      </c>
      <c r="P17" s="51">
        <v>400.79</v>
      </c>
      <c r="Q17" s="51">
        <v>586.54</v>
      </c>
      <c r="R17" s="51">
        <v>488.6</v>
      </c>
      <c r="S17" s="51">
        <v>447.88</v>
      </c>
      <c r="T17" s="51">
        <f t="shared" ref="T17:T22" si="2">ROUND(SUM(H17:S17),5)</f>
        <v>5550.48</v>
      </c>
    </row>
    <row r="18" spans="1:20" x14ac:dyDescent="0.3">
      <c r="A18" s="50"/>
      <c r="B18" s="50"/>
      <c r="C18" s="50"/>
      <c r="D18" s="50"/>
      <c r="E18" s="50"/>
      <c r="F18" s="50" t="s">
        <v>87</v>
      </c>
      <c r="G18" s="50"/>
      <c r="H18" s="51">
        <v>6212.36</v>
      </c>
      <c r="I18" s="51">
        <v>4787.07</v>
      </c>
      <c r="J18" s="51">
        <v>-4278.67</v>
      </c>
      <c r="K18" s="51">
        <v>16526.73</v>
      </c>
      <c r="L18" s="51">
        <v>5579.79</v>
      </c>
      <c r="M18" s="51">
        <v>5481.74</v>
      </c>
      <c r="N18" s="51">
        <v>5047.42</v>
      </c>
      <c r="O18" s="51">
        <v>6660.43</v>
      </c>
      <c r="P18" s="51">
        <v>5928.96</v>
      </c>
      <c r="Q18" s="51">
        <v>5063.93</v>
      </c>
      <c r="R18" s="51">
        <v>6238.12</v>
      </c>
      <c r="S18" s="51">
        <v>8630.35</v>
      </c>
      <c r="T18" s="51">
        <f t="shared" si="2"/>
        <v>71878.23</v>
      </c>
    </row>
    <row r="19" spans="1:20" x14ac:dyDescent="0.3">
      <c r="A19" s="50"/>
      <c r="B19" s="50"/>
      <c r="C19" s="50"/>
      <c r="D19" s="50"/>
      <c r="E19" s="50"/>
      <c r="F19" s="50" t="s">
        <v>88</v>
      </c>
      <c r="G19" s="50"/>
      <c r="H19" s="51">
        <v>83.37</v>
      </c>
      <c r="I19" s="51">
        <v>0</v>
      </c>
      <c r="J19" s="51">
        <v>-5593.63</v>
      </c>
      <c r="K19" s="51">
        <v>0</v>
      </c>
      <c r="L19" s="51">
        <v>0</v>
      </c>
      <c r="M19" s="51">
        <v>526.76</v>
      </c>
      <c r="N19" s="51">
        <v>95.47</v>
      </c>
      <c r="O19" s="51">
        <v>0</v>
      </c>
      <c r="P19" s="51">
        <v>432.49</v>
      </c>
      <c r="Q19" s="51">
        <v>60.53</v>
      </c>
      <c r="R19" s="51">
        <v>0</v>
      </c>
      <c r="S19" s="51">
        <v>579.15</v>
      </c>
      <c r="T19" s="51">
        <f t="shared" si="2"/>
        <v>-3815.86</v>
      </c>
    </row>
    <row r="20" spans="1:20" x14ac:dyDescent="0.3">
      <c r="A20" s="50"/>
      <c r="B20" s="50"/>
      <c r="C20" s="50"/>
      <c r="D20" s="50"/>
      <c r="E20" s="50"/>
      <c r="F20" s="50" t="s">
        <v>89</v>
      </c>
      <c r="G20" s="50"/>
      <c r="H20" s="51">
        <v>19.61</v>
      </c>
      <c r="I20" s="51">
        <v>0</v>
      </c>
      <c r="J20" s="51">
        <v>-5.49</v>
      </c>
      <c r="K20" s="51">
        <v>0</v>
      </c>
      <c r="L20" s="51">
        <v>0</v>
      </c>
      <c r="M20" s="51">
        <v>28.45</v>
      </c>
      <c r="N20" s="51">
        <v>5.08</v>
      </c>
      <c r="O20" s="51">
        <v>0</v>
      </c>
      <c r="P20" s="51">
        <v>23.02</v>
      </c>
      <c r="Q20" s="51">
        <v>5.04</v>
      </c>
      <c r="R20" s="51">
        <v>0</v>
      </c>
      <c r="S20" s="51">
        <v>48.23</v>
      </c>
      <c r="T20" s="51">
        <f t="shared" si="2"/>
        <v>123.94</v>
      </c>
    </row>
    <row r="21" spans="1:20" ht="15" thickBot="1" x14ac:dyDescent="0.35">
      <c r="A21" s="50"/>
      <c r="B21" s="50"/>
      <c r="C21" s="50"/>
      <c r="D21" s="50"/>
      <c r="E21" s="50"/>
      <c r="F21" s="50" t="s">
        <v>90</v>
      </c>
      <c r="G21" s="50"/>
      <c r="H21" s="52">
        <v>99.78</v>
      </c>
      <c r="I21" s="52">
        <v>0</v>
      </c>
      <c r="J21" s="52">
        <v>2276.58</v>
      </c>
      <c r="K21" s="52">
        <v>0</v>
      </c>
      <c r="L21" s="52">
        <v>0</v>
      </c>
      <c r="M21" s="52">
        <v>1831.67</v>
      </c>
      <c r="N21" s="52">
        <v>323.87</v>
      </c>
      <c r="O21" s="52">
        <v>0</v>
      </c>
      <c r="P21" s="52">
        <v>1467.17</v>
      </c>
      <c r="Q21" s="52">
        <v>200.19</v>
      </c>
      <c r="R21" s="52">
        <v>0</v>
      </c>
      <c r="S21" s="52">
        <v>0</v>
      </c>
      <c r="T21" s="52">
        <f t="shared" si="2"/>
        <v>6199.26</v>
      </c>
    </row>
    <row r="22" spans="1:20" x14ac:dyDescent="0.3">
      <c r="A22" s="50"/>
      <c r="B22" s="50"/>
      <c r="C22" s="50"/>
      <c r="D22" s="50"/>
      <c r="E22" s="50" t="s">
        <v>91</v>
      </c>
      <c r="F22" s="50"/>
      <c r="G22" s="50"/>
      <c r="H22" s="51">
        <f t="shared" ref="H22:S22" si="3">ROUND(SUM(H16:H21),5)</f>
        <v>6797.1</v>
      </c>
      <c r="I22" s="51">
        <f t="shared" si="3"/>
        <v>5219.43</v>
      </c>
      <c r="J22" s="51">
        <f t="shared" si="3"/>
        <v>-7169.17</v>
      </c>
      <c r="K22" s="51">
        <f t="shared" si="3"/>
        <v>17045.14</v>
      </c>
      <c r="L22" s="51">
        <f t="shared" si="3"/>
        <v>6115.34</v>
      </c>
      <c r="M22" s="51">
        <f t="shared" si="3"/>
        <v>8368.85</v>
      </c>
      <c r="N22" s="51">
        <f t="shared" si="3"/>
        <v>5892.78</v>
      </c>
      <c r="O22" s="51">
        <f t="shared" si="3"/>
        <v>7065.59</v>
      </c>
      <c r="P22" s="51">
        <f t="shared" si="3"/>
        <v>8252.43</v>
      </c>
      <c r="Q22" s="51">
        <f t="shared" si="3"/>
        <v>5916.23</v>
      </c>
      <c r="R22" s="51">
        <f t="shared" si="3"/>
        <v>6726.72</v>
      </c>
      <c r="S22" s="51">
        <f t="shared" si="3"/>
        <v>9705.61</v>
      </c>
      <c r="T22" s="51">
        <f t="shared" si="2"/>
        <v>79936.05</v>
      </c>
    </row>
    <row r="23" spans="1:20" x14ac:dyDescent="0.3">
      <c r="A23" s="50"/>
      <c r="B23" s="50"/>
      <c r="C23" s="50"/>
      <c r="D23" s="50"/>
      <c r="E23" s="50" t="s">
        <v>92</v>
      </c>
      <c r="F23" s="50"/>
      <c r="G23" s="50"/>
      <c r="H23" s="51"/>
      <c r="I23" s="51"/>
      <c r="J23" s="51"/>
      <c r="K23" s="51"/>
      <c r="L23" s="51"/>
      <c r="M23" s="51"/>
      <c r="N23" s="51"/>
      <c r="O23" s="51"/>
      <c r="P23" s="51"/>
      <c r="Q23" s="51"/>
      <c r="R23" s="51"/>
      <c r="S23" s="51"/>
      <c r="T23" s="51"/>
    </row>
    <row r="24" spans="1:20" x14ac:dyDescent="0.3">
      <c r="A24" s="50"/>
      <c r="B24" s="50"/>
      <c r="C24" s="50"/>
      <c r="D24" s="50"/>
      <c r="E24" s="50"/>
      <c r="F24" s="50" t="s">
        <v>93</v>
      </c>
      <c r="G24" s="50"/>
      <c r="H24" s="51">
        <v>12325</v>
      </c>
      <c r="I24" s="51">
        <v>7500</v>
      </c>
      <c r="J24" s="51">
        <v>12370.66</v>
      </c>
      <c r="K24" s="51">
        <v>13100</v>
      </c>
      <c r="L24" s="51">
        <v>5230</v>
      </c>
      <c r="M24" s="51">
        <v>30592</v>
      </c>
      <c r="N24" s="51">
        <v>22305</v>
      </c>
      <c r="O24" s="51">
        <v>6000</v>
      </c>
      <c r="P24" s="51">
        <v>8400</v>
      </c>
      <c r="Q24" s="51">
        <v>14960</v>
      </c>
      <c r="R24" s="51">
        <v>23490</v>
      </c>
      <c r="S24" s="51">
        <v>22920</v>
      </c>
      <c r="T24" s="51">
        <f t="shared" ref="T24:T34" si="4">ROUND(SUM(H24:S24),5)</f>
        <v>179192.66</v>
      </c>
    </row>
    <row r="25" spans="1:20" x14ac:dyDescent="0.3">
      <c r="A25" s="50"/>
      <c r="B25" s="50"/>
      <c r="C25" s="50"/>
      <c r="D25" s="50"/>
      <c r="E25" s="50"/>
      <c r="F25" s="50" t="s">
        <v>94</v>
      </c>
      <c r="G25" s="50"/>
      <c r="H25" s="51">
        <v>1450</v>
      </c>
      <c r="I25" s="51">
        <v>1500</v>
      </c>
      <c r="J25" s="51">
        <v>1650</v>
      </c>
      <c r="K25" s="51">
        <v>3300</v>
      </c>
      <c r="L25" s="51">
        <v>500</v>
      </c>
      <c r="M25" s="51">
        <v>3000</v>
      </c>
      <c r="N25" s="51">
        <v>1250</v>
      </c>
      <c r="O25" s="51">
        <v>1250</v>
      </c>
      <c r="P25" s="51">
        <v>1500</v>
      </c>
      <c r="Q25" s="51">
        <v>1700</v>
      </c>
      <c r="R25" s="51">
        <v>1750</v>
      </c>
      <c r="S25" s="51">
        <v>1860</v>
      </c>
      <c r="T25" s="51">
        <f t="shared" si="4"/>
        <v>20710</v>
      </c>
    </row>
    <row r="26" spans="1:20" x14ac:dyDescent="0.3">
      <c r="A26" s="50"/>
      <c r="B26" s="50"/>
      <c r="C26" s="50"/>
      <c r="D26" s="50"/>
      <c r="E26" s="50"/>
      <c r="F26" s="50" t="s">
        <v>230</v>
      </c>
      <c r="G26" s="50"/>
      <c r="H26" s="51">
        <v>225</v>
      </c>
      <c r="I26" s="51">
        <v>0</v>
      </c>
      <c r="J26" s="51">
        <v>455</v>
      </c>
      <c r="K26" s="51">
        <v>0</v>
      </c>
      <c r="L26" s="51">
        <v>230</v>
      </c>
      <c r="M26" s="51">
        <v>892</v>
      </c>
      <c r="N26" s="51">
        <v>690</v>
      </c>
      <c r="O26" s="51">
        <v>0</v>
      </c>
      <c r="P26" s="51">
        <v>460</v>
      </c>
      <c r="Q26" s="51">
        <v>460</v>
      </c>
      <c r="R26" s="51">
        <v>690</v>
      </c>
      <c r="S26" s="51">
        <v>920</v>
      </c>
      <c r="T26" s="51">
        <f t="shared" si="4"/>
        <v>5022</v>
      </c>
    </row>
    <row r="27" spans="1:20" x14ac:dyDescent="0.3">
      <c r="A27" s="50"/>
      <c r="B27" s="50"/>
      <c r="C27" s="50"/>
      <c r="D27" s="50"/>
      <c r="E27" s="50"/>
      <c r="F27" s="50" t="s">
        <v>95</v>
      </c>
      <c r="G27" s="50"/>
      <c r="H27" s="51">
        <v>3700</v>
      </c>
      <c r="I27" s="51">
        <v>2050</v>
      </c>
      <c r="J27" s="51">
        <v>6100</v>
      </c>
      <c r="K27" s="51">
        <v>3750</v>
      </c>
      <c r="L27" s="51">
        <v>1950</v>
      </c>
      <c r="M27" s="51">
        <v>8750</v>
      </c>
      <c r="N27" s="51">
        <v>4300</v>
      </c>
      <c r="O27" s="51">
        <v>1800</v>
      </c>
      <c r="P27" s="51">
        <v>4700</v>
      </c>
      <c r="Q27" s="51">
        <v>5300</v>
      </c>
      <c r="R27" s="51">
        <v>3600</v>
      </c>
      <c r="S27" s="51">
        <v>7600</v>
      </c>
      <c r="T27" s="51">
        <f t="shared" si="4"/>
        <v>53600</v>
      </c>
    </row>
    <row r="28" spans="1:20" x14ac:dyDescent="0.3">
      <c r="A28" s="50"/>
      <c r="B28" s="50"/>
      <c r="C28" s="50"/>
      <c r="D28" s="50"/>
      <c r="E28" s="50"/>
      <c r="F28" s="50" t="s">
        <v>96</v>
      </c>
      <c r="G28" s="50"/>
      <c r="H28" s="51">
        <v>2675</v>
      </c>
      <c r="I28" s="51">
        <v>5800</v>
      </c>
      <c r="J28" s="51">
        <v>9282</v>
      </c>
      <c r="K28" s="51">
        <v>20500</v>
      </c>
      <c r="L28" s="51">
        <v>3770</v>
      </c>
      <c r="M28" s="51">
        <v>21408</v>
      </c>
      <c r="N28" s="51">
        <v>-505</v>
      </c>
      <c r="O28" s="51">
        <v>10500</v>
      </c>
      <c r="P28" s="51">
        <v>6000</v>
      </c>
      <c r="Q28" s="51">
        <v>10690</v>
      </c>
      <c r="R28" s="51">
        <v>-990</v>
      </c>
      <c r="S28" s="51">
        <v>13230</v>
      </c>
      <c r="T28" s="51">
        <f t="shared" si="4"/>
        <v>102360</v>
      </c>
    </row>
    <row r="29" spans="1:20" x14ac:dyDescent="0.3">
      <c r="A29" s="50"/>
      <c r="B29" s="50"/>
      <c r="C29" s="50"/>
      <c r="D29" s="50"/>
      <c r="E29" s="50"/>
      <c r="F29" s="50" t="s">
        <v>97</v>
      </c>
      <c r="G29" s="50"/>
      <c r="H29" s="51">
        <v>3100</v>
      </c>
      <c r="I29" s="51">
        <v>0</v>
      </c>
      <c r="J29" s="51">
        <v>2700</v>
      </c>
      <c r="K29" s="51">
        <v>1100</v>
      </c>
      <c r="L29" s="51">
        <v>0</v>
      </c>
      <c r="M29" s="51">
        <v>4300</v>
      </c>
      <c r="N29" s="51">
        <v>7900</v>
      </c>
      <c r="O29" s="51">
        <v>0</v>
      </c>
      <c r="P29" s="51">
        <v>5400</v>
      </c>
      <c r="Q29" s="51">
        <v>3600</v>
      </c>
      <c r="R29" s="51">
        <v>5200</v>
      </c>
      <c r="S29" s="51">
        <v>3600</v>
      </c>
      <c r="T29" s="51">
        <f t="shared" si="4"/>
        <v>36900</v>
      </c>
    </row>
    <row r="30" spans="1:20" x14ac:dyDescent="0.3">
      <c r="A30" s="50"/>
      <c r="B30" s="50"/>
      <c r="C30" s="50"/>
      <c r="D30" s="50"/>
      <c r="E30" s="50"/>
      <c r="F30" s="50" t="s">
        <v>231</v>
      </c>
      <c r="G30" s="50"/>
      <c r="H30" s="51">
        <v>0</v>
      </c>
      <c r="I30" s="51">
        <v>0</v>
      </c>
      <c r="J30" s="51">
        <v>500</v>
      </c>
      <c r="K30" s="51">
        <v>1000</v>
      </c>
      <c r="L30" s="51">
        <v>500</v>
      </c>
      <c r="M30" s="51">
        <v>6500</v>
      </c>
      <c r="N30" s="51">
        <v>3000</v>
      </c>
      <c r="O30" s="51">
        <v>1000</v>
      </c>
      <c r="P30" s="51">
        <v>3000</v>
      </c>
      <c r="Q30" s="51">
        <v>3500</v>
      </c>
      <c r="R30" s="51">
        <v>4000</v>
      </c>
      <c r="S30" s="51">
        <v>5000</v>
      </c>
      <c r="T30" s="51">
        <f t="shared" si="4"/>
        <v>28000</v>
      </c>
    </row>
    <row r="31" spans="1:20" x14ac:dyDescent="0.3">
      <c r="A31" s="50"/>
      <c r="B31" s="50"/>
      <c r="C31" s="50"/>
      <c r="D31" s="50"/>
      <c r="E31" s="50"/>
      <c r="F31" s="50" t="s">
        <v>98</v>
      </c>
      <c r="G31" s="50"/>
      <c r="H31" s="51">
        <v>985</v>
      </c>
      <c r="I31" s="51">
        <v>400</v>
      </c>
      <c r="J31" s="51">
        <v>1680</v>
      </c>
      <c r="K31" s="51">
        <v>1480</v>
      </c>
      <c r="L31" s="51">
        <v>980</v>
      </c>
      <c r="M31" s="51">
        <v>2360</v>
      </c>
      <c r="N31" s="51">
        <v>1965</v>
      </c>
      <c r="O31" s="51">
        <v>375</v>
      </c>
      <c r="P31" s="51">
        <v>2855</v>
      </c>
      <c r="Q31" s="51">
        <v>1860</v>
      </c>
      <c r="R31" s="51">
        <v>880</v>
      </c>
      <c r="S31" s="51">
        <v>4003</v>
      </c>
      <c r="T31" s="51">
        <f t="shared" si="4"/>
        <v>19823</v>
      </c>
    </row>
    <row r="32" spans="1:20" ht="15" thickBot="1" x14ac:dyDescent="0.35">
      <c r="A32" s="50"/>
      <c r="B32" s="50"/>
      <c r="C32" s="50"/>
      <c r="D32" s="50"/>
      <c r="E32" s="50"/>
      <c r="F32" s="50" t="s">
        <v>99</v>
      </c>
      <c r="G32" s="50"/>
      <c r="H32" s="51">
        <v>0</v>
      </c>
      <c r="I32" s="51">
        <v>0</v>
      </c>
      <c r="J32" s="51">
        <v>0</v>
      </c>
      <c r="K32" s="51">
        <v>0</v>
      </c>
      <c r="L32" s="51">
        <v>0</v>
      </c>
      <c r="M32" s="51">
        <v>88.5</v>
      </c>
      <c r="N32" s="51">
        <v>15</v>
      </c>
      <c r="O32" s="51">
        <v>0</v>
      </c>
      <c r="P32" s="51">
        <v>0</v>
      </c>
      <c r="Q32" s="51">
        <v>0</v>
      </c>
      <c r="R32" s="51">
        <v>0</v>
      </c>
      <c r="S32" s="51">
        <v>0</v>
      </c>
      <c r="T32" s="51">
        <f t="shared" si="4"/>
        <v>103.5</v>
      </c>
    </row>
    <row r="33" spans="1:20" ht="15" thickBot="1" x14ac:dyDescent="0.35">
      <c r="A33" s="50"/>
      <c r="B33" s="50"/>
      <c r="C33" s="50"/>
      <c r="D33" s="50"/>
      <c r="E33" s="50" t="s">
        <v>100</v>
      </c>
      <c r="F33" s="50"/>
      <c r="G33" s="50"/>
      <c r="H33" s="53">
        <f t="shared" ref="H33:S33" si="5">ROUND(SUM(H23:H32),5)</f>
        <v>24460</v>
      </c>
      <c r="I33" s="53">
        <f t="shared" si="5"/>
        <v>17250</v>
      </c>
      <c r="J33" s="53">
        <f t="shared" si="5"/>
        <v>34737.660000000003</v>
      </c>
      <c r="K33" s="53">
        <f t="shared" si="5"/>
        <v>44230</v>
      </c>
      <c r="L33" s="53">
        <f t="shared" si="5"/>
        <v>13160</v>
      </c>
      <c r="M33" s="53">
        <f t="shared" si="5"/>
        <v>77890.5</v>
      </c>
      <c r="N33" s="53">
        <f t="shared" si="5"/>
        <v>40920</v>
      </c>
      <c r="O33" s="53">
        <f t="shared" si="5"/>
        <v>20925</v>
      </c>
      <c r="P33" s="53">
        <f t="shared" si="5"/>
        <v>32315</v>
      </c>
      <c r="Q33" s="53">
        <f t="shared" si="5"/>
        <v>42070</v>
      </c>
      <c r="R33" s="53">
        <f t="shared" si="5"/>
        <v>38620</v>
      </c>
      <c r="S33" s="53">
        <f t="shared" si="5"/>
        <v>59133</v>
      </c>
      <c r="T33" s="53">
        <f t="shared" si="4"/>
        <v>445711.16</v>
      </c>
    </row>
    <row r="34" spans="1:20" x14ac:dyDescent="0.3">
      <c r="A34" s="50"/>
      <c r="B34" s="50"/>
      <c r="C34" s="50"/>
      <c r="D34" s="50" t="s">
        <v>3</v>
      </c>
      <c r="E34" s="50"/>
      <c r="F34" s="50"/>
      <c r="G34" s="50"/>
      <c r="H34" s="51">
        <f t="shared" ref="H34:S34" si="6">ROUND(H3+H15+H22+H33,5)</f>
        <v>97264.65</v>
      </c>
      <c r="I34" s="51">
        <f t="shared" si="6"/>
        <v>236821.83</v>
      </c>
      <c r="J34" s="51">
        <f t="shared" si="6"/>
        <v>96813.23</v>
      </c>
      <c r="K34" s="51">
        <f t="shared" si="6"/>
        <v>61275.14</v>
      </c>
      <c r="L34" s="51">
        <f t="shared" si="6"/>
        <v>21077.040000000001</v>
      </c>
      <c r="M34" s="51">
        <f t="shared" si="6"/>
        <v>86259.35</v>
      </c>
      <c r="N34" s="51">
        <f t="shared" si="6"/>
        <v>85563.12</v>
      </c>
      <c r="O34" s="51">
        <f t="shared" si="6"/>
        <v>26431.9</v>
      </c>
      <c r="P34" s="51">
        <f t="shared" si="6"/>
        <v>297669.45</v>
      </c>
      <c r="Q34" s="51">
        <f t="shared" si="6"/>
        <v>218782.29</v>
      </c>
      <c r="R34" s="51">
        <f t="shared" si="6"/>
        <v>59701.31</v>
      </c>
      <c r="S34" s="51">
        <f t="shared" si="6"/>
        <v>74424.84</v>
      </c>
      <c r="T34" s="51">
        <f t="shared" si="4"/>
        <v>1362084.15</v>
      </c>
    </row>
    <row r="35" spans="1:20" x14ac:dyDescent="0.3">
      <c r="A35" s="50"/>
      <c r="B35" s="50"/>
      <c r="C35" s="50"/>
      <c r="D35" s="50" t="s">
        <v>101</v>
      </c>
      <c r="E35" s="50"/>
      <c r="F35" s="50"/>
      <c r="G35" s="50"/>
      <c r="H35" s="51"/>
      <c r="I35" s="51"/>
      <c r="J35" s="51"/>
      <c r="K35" s="51"/>
      <c r="L35" s="51"/>
      <c r="M35" s="51"/>
      <c r="N35" s="51"/>
      <c r="O35" s="51"/>
      <c r="P35" s="51"/>
      <c r="Q35" s="51"/>
      <c r="R35" s="51"/>
      <c r="S35" s="51"/>
      <c r="T35" s="51"/>
    </row>
    <row r="36" spans="1:20" ht="15" thickBot="1" x14ac:dyDescent="0.35">
      <c r="A36" s="50"/>
      <c r="B36" s="50"/>
      <c r="C36" s="50"/>
      <c r="D36" s="50"/>
      <c r="E36" s="50" t="s">
        <v>102</v>
      </c>
      <c r="F36" s="50"/>
      <c r="G36" s="50"/>
      <c r="H36" s="51">
        <v>0</v>
      </c>
      <c r="I36" s="51">
        <v>0</v>
      </c>
      <c r="J36" s="51">
        <v>0</v>
      </c>
      <c r="K36" s="51">
        <v>0</v>
      </c>
      <c r="L36" s="51">
        <v>0</v>
      </c>
      <c r="M36" s="51">
        <v>0</v>
      </c>
      <c r="N36" s="51">
        <v>0</v>
      </c>
      <c r="O36" s="51">
        <v>0</v>
      </c>
      <c r="P36" s="51">
        <v>0</v>
      </c>
      <c r="Q36" s="51">
        <v>0</v>
      </c>
      <c r="R36" s="51">
        <v>0</v>
      </c>
      <c r="S36" s="51">
        <v>0</v>
      </c>
      <c r="T36" s="51">
        <f>ROUND(SUM(H36:S36),5)</f>
        <v>0</v>
      </c>
    </row>
    <row r="37" spans="1:20" ht="15" thickBot="1" x14ac:dyDescent="0.35">
      <c r="A37" s="50"/>
      <c r="B37" s="50"/>
      <c r="C37" s="50"/>
      <c r="D37" s="50" t="s">
        <v>103</v>
      </c>
      <c r="E37" s="50"/>
      <c r="F37" s="50"/>
      <c r="G37" s="50"/>
      <c r="H37" s="53">
        <f t="shared" ref="H37:S37" si="7">ROUND(SUM(H35:H36),5)</f>
        <v>0</v>
      </c>
      <c r="I37" s="53">
        <f t="shared" si="7"/>
        <v>0</v>
      </c>
      <c r="J37" s="53">
        <f t="shared" si="7"/>
        <v>0</v>
      </c>
      <c r="K37" s="53">
        <f t="shared" si="7"/>
        <v>0</v>
      </c>
      <c r="L37" s="53">
        <f t="shared" si="7"/>
        <v>0</v>
      </c>
      <c r="M37" s="53">
        <f t="shared" si="7"/>
        <v>0</v>
      </c>
      <c r="N37" s="53">
        <f t="shared" si="7"/>
        <v>0</v>
      </c>
      <c r="O37" s="53">
        <f t="shared" si="7"/>
        <v>0</v>
      </c>
      <c r="P37" s="53">
        <f t="shared" si="7"/>
        <v>0</v>
      </c>
      <c r="Q37" s="53">
        <f t="shared" si="7"/>
        <v>0</v>
      </c>
      <c r="R37" s="53">
        <f t="shared" si="7"/>
        <v>0</v>
      </c>
      <c r="S37" s="53">
        <f t="shared" si="7"/>
        <v>0</v>
      </c>
      <c r="T37" s="53">
        <f>ROUND(SUM(H37:S37),5)</f>
        <v>0</v>
      </c>
    </row>
    <row r="38" spans="1:20" x14ac:dyDescent="0.3">
      <c r="A38" s="50"/>
      <c r="B38" s="50"/>
      <c r="C38" s="50" t="s">
        <v>104</v>
      </c>
      <c r="D38" s="50"/>
      <c r="E38" s="50"/>
      <c r="F38" s="50"/>
      <c r="G38" s="50"/>
      <c r="H38" s="51">
        <f t="shared" ref="H38:S38" si="8">ROUND(H34-H37,5)</f>
        <v>97264.65</v>
      </c>
      <c r="I38" s="51">
        <f t="shared" si="8"/>
        <v>236821.83</v>
      </c>
      <c r="J38" s="51">
        <f t="shared" si="8"/>
        <v>96813.23</v>
      </c>
      <c r="K38" s="51">
        <f t="shared" si="8"/>
        <v>61275.14</v>
      </c>
      <c r="L38" s="51">
        <f t="shared" si="8"/>
        <v>21077.040000000001</v>
      </c>
      <c r="M38" s="51">
        <f t="shared" si="8"/>
        <v>86259.35</v>
      </c>
      <c r="N38" s="51">
        <f t="shared" si="8"/>
        <v>85563.12</v>
      </c>
      <c r="O38" s="51">
        <f t="shared" si="8"/>
        <v>26431.9</v>
      </c>
      <c r="P38" s="51">
        <f t="shared" si="8"/>
        <v>297669.45</v>
      </c>
      <c r="Q38" s="51">
        <f t="shared" si="8"/>
        <v>218782.29</v>
      </c>
      <c r="R38" s="51">
        <f t="shared" si="8"/>
        <v>59701.31</v>
      </c>
      <c r="S38" s="51">
        <f t="shared" si="8"/>
        <v>74424.84</v>
      </c>
      <c r="T38" s="51">
        <f>ROUND(SUM(H38:S38),5)</f>
        <v>1362084.15</v>
      </c>
    </row>
    <row r="39" spans="1:20" x14ac:dyDescent="0.3">
      <c r="A39" s="50"/>
      <c r="B39" s="50"/>
      <c r="C39" s="50"/>
      <c r="D39" s="50" t="s">
        <v>4</v>
      </c>
      <c r="E39" s="50"/>
      <c r="F39" s="50"/>
      <c r="G39" s="50"/>
      <c r="H39" s="51"/>
      <c r="I39" s="51"/>
      <c r="J39" s="51"/>
      <c r="K39" s="51"/>
      <c r="L39" s="51"/>
      <c r="M39" s="51"/>
      <c r="N39" s="51"/>
      <c r="O39" s="51"/>
      <c r="P39" s="51"/>
      <c r="Q39" s="51"/>
      <c r="R39" s="51"/>
      <c r="S39" s="51"/>
      <c r="T39" s="51"/>
    </row>
    <row r="40" spans="1:20" x14ac:dyDescent="0.3">
      <c r="A40" s="50"/>
      <c r="B40" s="50"/>
      <c r="C40" s="50"/>
      <c r="D40" s="50"/>
      <c r="E40" s="50" t="s">
        <v>105</v>
      </c>
      <c r="F40" s="50"/>
      <c r="G40" s="50"/>
      <c r="H40" s="51"/>
      <c r="I40" s="51"/>
      <c r="J40" s="51"/>
      <c r="K40" s="51"/>
      <c r="L40" s="51"/>
      <c r="M40" s="51"/>
      <c r="N40" s="51"/>
      <c r="O40" s="51"/>
      <c r="P40" s="51"/>
      <c r="Q40" s="51"/>
      <c r="R40" s="51"/>
      <c r="S40" s="51"/>
      <c r="T40" s="51"/>
    </row>
    <row r="41" spans="1:20" x14ac:dyDescent="0.3">
      <c r="A41" s="50"/>
      <c r="B41" s="50"/>
      <c r="C41" s="50"/>
      <c r="D41" s="50"/>
      <c r="E41" s="50"/>
      <c r="F41" s="50" t="s">
        <v>106</v>
      </c>
      <c r="G41" s="50"/>
      <c r="H41" s="51"/>
      <c r="I41" s="51"/>
      <c r="J41" s="51"/>
      <c r="K41" s="51"/>
      <c r="L41" s="51"/>
      <c r="M41" s="51"/>
      <c r="N41" s="51"/>
      <c r="O41" s="51"/>
      <c r="P41" s="51"/>
      <c r="Q41" s="51"/>
      <c r="R41" s="51"/>
      <c r="S41" s="51"/>
      <c r="T41" s="51"/>
    </row>
    <row r="42" spans="1:20" x14ac:dyDescent="0.3">
      <c r="A42" s="50"/>
      <c r="B42" s="50"/>
      <c r="C42" s="50"/>
      <c r="D42" s="50"/>
      <c r="E42" s="50"/>
      <c r="F42" s="50"/>
      <c r="G42" s="50" t="s">
        <v>107</v>
      </c>
      <c r="H42" s="51">
        <v>25401.13</v>
      </c>
      <c r="I42" s="51">
        <v>16843.310000000001</v>
      </c>
      <c r="J42" s="51">
        <v>21987.85</v>
      </c>
      <c r="K42" s="51">
        <v>8772.68</v>
      </c>
      <c r="L42" s="51">
        <v>17294.16</v>
      </c>
      <c r="M42" s="51">
        <v>20600.22</v>
      </c>
      <c r="N42" s="51">
        <v>22987.7</v>
      </c>
      <c r="O42" s="51">
        <v>15845.14</v>
      </c>
      <c r="P42" s="51">
        <v>18074.96</v>
      </c>
      <c r="Q42" s="51">
        <v>35615.51</v>
      </c>
      <c r="R42" s="51">
        <v>18384.71</v>
      </c>
      <c r="S42" s="51">
        <v>18295.900000000001</v>
      </c>
      <c r="T42" s="51">
        <f>ROUND(SUM(H42:S42),5)</f>
        <v>240103.27</v>
      </c>
    </row>
    <row r="43" spans="1:20" x14ac:dyDescent="0.3">
      <c r="A43" s="50"/>
      <c r="B43" s="50"/>
      <c r="C43" s="50"/>
      <c r="D43" s="50"/>
      <c r="E43" s="50"/>
      <c r="F43" s="50"/>
      <c r="G43" s="50" t="s">
        <v>108</v>
      </c>
      <c r="H43" s="51">
        <v>0</v>
      </c>
      <c r="I43" s="51">
        <v>0</v>
      </c>
      <c r="J43" s="51">
        <v>0</v>
      </c>
      <c r="K43" s="51">
        <v>0</v>
      </c>
      <c r="L43" s="51">
        <v>0</v>
      </c>
      <c r="M43" s="51">
        <v>0</v>
      </c>
      <c r="N43" s="51">
        <v>0</v>
      </c>
      <c r="O43" s="51">
        <v>0</v>
      </c>
      <c r="P43" s="51">
        <v>6280.13</v>
      </c>
      <c r="Q43" s="51">
        <v>0</v>
      </c>
      <c r="R43" s="51">
        <v>0</v>
      </c>
      <c r="S43" s="51">
        <v>0</v>
      </c>
      <c r="T43" s="51">
        <f>ROUND(SUM(H43:S43),5)</f>
        <v>6280.13</v>
      </c>
    </row>
    <row r="44" spans="1:20" x14ac:dyDescent="0.3">
      <c r="A44" s="50"/>
      <c r="B44" s="50"/>
      <c r="C44" s="50"/>
      <c r="D44" s="50"/>
      <c r="E44" s="50"/>
      <c r="F44" s="50"/>
      <c r="G44" s="50" t="s">
        <v>276</v>
      </c>
      <c r="H44" s="51">
        <v>6572.5</v>
      </c>
      <c r="I44" s="51">
        <v>0</v>
      </c>
      <c r="J44" s="51">
        <v>0</v>
      </c>
      <c r="K44" s="51">
        <v>0</v>
      </c>
      <c r="L44" s="51">
        <v>0</v>
      </c>
      <c r="M44" s="51">
        <v>0</v>
      </c>
      <c r="N44" s="51">
        <v>0</v>
      </c>
      <c r="O44" s="51">
        <v>0</v>
      </c>
      <c r="P44" s="51">
        <v>0</v>
      </c>
      <c r="Q44" s="51">
        <v>0</v>
      </c>
      <c r="R44" s="51">
        <v>0</v>
      </c>
      <c r="S44" s="51">
        <v>0</v>
      </c>
      <c r="T44" s="51">
        <f>ROUND(SUM(H44:S44),5)</f>
        <v>6572.5</v>
      </c>
    </row>
    <row r="45" spans="1:20" ht="15" thickBot="1" x14ac:dyDescent="0.35">
      <c r="A45" s="50"/>
      <c r="B45" s="50"/>
      <c r="C45" s="50"/>
      <c r="D45" s="50"/>
      <c r="E45" s="50"/>
      <c r="F45" s="50"/>
      <c r="G45" s="50" t="s">
        <v>109</v>
      </c>
      <c r="H45" s="52">
        <v>35.64</v>
      </c>
      <c r="I45" s="52">
        <v>35.64</v>
      </c>
      <c r="J45" s="52">
        <v>35.64</v>
      </c>
      <c r="K45" s="52">
        <v>35.64</v>
      </c>
      <c r="L45" s="52">
        <v>35.64</v>
      </c>
      <c r="M45" s="52">
        <v>35.64</v>
      </c>
      <c r="N45" s="52">
        <v>35.64</v>
      </c>
      <c r="O45" s="52">
        <v>35.64</v>
      </c>
      <c r="P45" s="52">
        <v>35.64</v>
      </c>
      <c r="Q45" s="52">
        <v>35.64</v>
      </c>
      <c r="R45" s="52">
        <v>35.64</v>
      </c>
      <c r="S45" s="52">
        <v>35.64</v>
      </c>
      <c r="T45" s="52">
        <f>ROUND(SUM(H45:S45),5)</f>
        <v>427.68</v>
      </c>
    </row>
    <row r="46" spans="1:20" x14ac:dyDescent="0.3">
      <c r="A46" s="50"/>
      <c r="B46" s="50"/>
      <c r="C46" s="50"/>
      <c r="D46" s="50"/>
      <c r="E46" s="50"/>
      <c r="F46" s="50" t="s">
        <v>110</v>
      </c>
      <c r="G46" s="50"/>
      <c r="H46" s="51">
        <f t="shared" ref="H46:S46" si="9">ROUND(SUM(H41:H45),5)</f>
        <v>32009.27</v>
      </c>
      <c r="I46" s="51">
        <f t="shared" si="9"/>
        <v>16878.95</v>
      </c>
      <c r="J46" s="51">
        <f t="shared" si="9"/>
        <v>22023.49</v>
      </c>
      <c r="K46" s="51">
        <f t="shared" si="9"/>
        <v>8808.32</v>
      </c>
      <c r="L46" s="51">
        <f t="shared" si="9"/>
        <v>17329.8</v>
      </c>
      <c r="M46" s="51">
        <f t="shared" si="9"/>
        <v>20635.86</v>
      </c>
      <c r="N46" s="51">
        <f t="shared" si="9"/>
        <v>23023.34</v>
      </c>
      <c r="O46" s="51">
        <f t="shared" si="9"/>
        <v>15880.78</v>
      </c>
      <c r="P46" s="51">
        <f t="shared" si="9"/>
        <v>24390.73</v>
      </c>
      <c r="Q46" s="51">
        <f t="shared" si="9"/>
        <v>35651.15</v>
      </c>
      <c r="R46" s="51">
        <f t="shared" si="9"/>
        <v>18420.349999999999</v>
      </c>
      <c r="S46" s="51">
        <f t="shared" si="9"/>
        <v>18331.54</v>
      </c>
      <c r="T46" s="51">
        <f>ROUND(SUM(H46:S46),5)</f>
        <v>253383.58</v>
      </c>
    </row>
    <row r="47" spans="1:20" x14ac:dyDescent="0.3">
      <c r="A47" s="50"/>
      <c r="B47" s="50"/>
      <c r="C47" s="50"/>
      <c r="D47" s="50"/>
      <c r="E47" s="50"/>
      <c r="F47" s="50" t="s">
        <v>277</v>
      </c>
      <c r="G47" s="50"/>
      <c r="H47" s="51"/>
      <c r="I47" s="51"/>
      <c r="J47" s="51"/>
      <c r="K47" s="51"/>
      <c r="L47" s="51"/>
      <c r="M47" s="51"/>
      <c r="N47" s="51"/>
      <c r="O47" s="51"/>
      <c r="P47" s="51"/>
      <c r="Q47" s="51"/>
      <c r="R47" s="51"/>
      <c r="S47" s="51"/>
      <c r="T47" s="51"/>
    </row>
    <row r="48" spans="1:20" ht="15" thickBot="1" x14ac:dyDescent="0.35">
      <c r="A48" s="50"/>
      <c r="B48" s="50"/>
      <c r="C48" s="50"/>
      <c r="D48" s="50"/>
      <c r="E48" s="50"/>
      <c r="F48" s="50"/>
      <c r="G48" s="50" t="s">
        <v>212</v>
      </c>
      <c r="H48" s="52">
        <v>0</v>
      </c>
      <c r="I48" s="52">
        <v>0</v>
      </c>
      <c r="J48" s="52">
        <v>0</v>
      </c>
      <c r="K48" s="52">
        <v>0</v>
      </c>
      <c r="L48" s="52">
        <v>0</v>
      </c>
      <c r="M48" s="52">
        <v>0</v>
      </c>
      <c r="N48" s="52">
        <v>1254.4000000000001</v>
      </c>
      <c r="O48" s="52">
        <v>851.2</v>
      </c>
      <c r="P48" s="52">
        <v>0</v>
      </c>
      <c r="Q48" s="52">
        <v>0</v>
      </c>
      <c r="R48" s="52">
        <v>0</v>
      </c>
      <c r="S48" s="52">
        <v>0</v>
      </c>
      <c r="T48" s="52">
        <f>ROUND(SUM(H48:S48),5)</f>
        <v>2105.6</v>
      </c>
    </row>
    <row r="49" spans="1:20" x14ac:dyDescent="0.3">
      <c r="A49" s="50"/>
      <c r="B49" s="50"/>
      <c r="C49" s="50"/>
      <c r="D49" s="50"/>
      <c r="E49" s="50"/>
      <c r="F49" s="50" t="s">
        <v>278</v>
      </c>
      <c r="G49" s="50"/>
      <c r="H49" s="51">
        <f t="shared" ref="H49:S49" si="10">ROUND(SUM(H47:H48),5)</f>
        <v>0</v>
      </c>
      <c r="I49" s="51">
        <f t="shared" si="10"/>
        <v>0</v>
      </c>
      <c r="J49" s="51">
        <f t="shared" si="10"/>
        <v>0</v>
      </c>
      <c r="K49" s="51">
        <f t="shared" si="10"/>
        <v>0</v>
      </c>
      <c r="L49" s="51">
        <f t="shared" si="10"/>
        <v>0</v>
      </c>
      <c r="M49" s="51">
        <f t="shared" si="10"/>
        <v>0</v>
      </c>
      <c r="N49" s="51">
        <f t="shared" si="10"/>
        <v>1254.4000000000001</v>
      </c>
      <c r="O49" s="51">
        <f t="shared" si="10"/>
        <v>851.2</v>
      </c>
      <c r="P49" s="51">
        <f t="shared" si="10"/>
        <v>0</v>
      </c>
      <c r="Q49" s="51">
        <f t="shared" si="10"/>
        <v>0</v>
      </c>
      <c r="R49" s="51">
        <f t="shared" si="10"/>
        <v>0</v>
      </c>
      <c r="S49" s="51">
        <f t="shared" si="10"/>
        <v>0</v>
      </c>
      <c r="T49" s="51">
        <f>ROUND(SUM(H49:S49),5)</f>
        <v>2105.6</v>
      </c>
    </row>
    <row r="50" spans="1:20" x14ac:dyDescent="0.3">
      <c r="A50" s="50"/>
      <c r="B50" s="50"/>
      <c r="C50" s="50"/>
      <c r="D50" s="50"/>
      <c r="E50" s="50"/>
      <c r="F50" s="50" t="s">
        <v>111</v>
      </c>
      <c r="G50" s="50"/>
      <c r="H50" s="51"/>
      <c r="I50" s="51"/>
      <c r="J50" s="51"/>
      <c r="K50" s="51"/>
      <c r="L50" s="51"/>
      <c r="M50" s="51"/>
      <c r="N50" s="51"/>
      <c r="O50" s="51"/>
      <c r="P50" s="51"/>
      <c r="Q50" s="51"/>
      <c r="R50" s="51"/>
      <c r="S50" s="51"/>
      <c r="T50" s="51"/>
    </row>
    <row r="51" spans="1:20" x14ac:dyDescent="0.3">
      <c r="A51" s="50"/>
      <c r="B51" s="50"/>
      <c r="C51" s="50"/>
      <c r="D51" s="50"/>
      <c r="E51" s="50"/>
      <c r="F51" s="50"/>
      <c r="G51" s="50" t="s">
        <v>112</v>
      </c>
      <c r="H51" s="51">
        <v>1839.28</v>
      </c>
      <c r="I51" s="51">
        <v>1221.78</v>
      </c>
      <c r="J51" s="51">
        <v>1197.02</v>
      </c>
      <c r="K51" s="51">
        <v>1363.28</v>
      </c>
      <c r="L51" s="51">
        <v>1867.01</v>
      </c>
      <c r="M51" s="51">
        <v>656.6</v>
      </c>
      <c r="N51" s="51">
        <v>1950.84</v>
      </c>
      <c r="O51" s="51">
        <v>1313.48</v>
      </c>
      <c r="P51" s="51">
        <v>1320.95</v>
      </c>
      <c r="Q51" s="51">
        <v>1321.44</v>
      </c>
      <c r="R51" s="51">
        <v>1329.6</v>
      </c>
      <c r="S51" s="51">
        <v>1319.97</v>
      </c>
      <c r="T51" s="51">
        <f>ROUND(SUM(H51:S51),5)</f>
        <v>16701.25</v>
      </c>
    </row>
    <row r="52" spans="1:20" ht="15" thickBot="1" x14ac:dyDescent="0.35">
      <c r="A52" s="50"/>
      <c r="B52" s="50"/>
      <c r="C52" s="50"/>
      <c r="D52" s="50"/>
      <c r="E52" s="50"/>
      <c r="F52" s="50"/>
      <c r="G52" s="50" t="s">
        <v>113</v>
      </c>
      <c r="H52" s="52">
        <v>0</v>
      </c>
      <c r="I52" s="52">
        <v>0</v>
      </c>
      <c r="J52" s="52">
        <v>0</v>
      </c>
      <c r="K52" s="52">
        <v>0</v>
      </c>
      <c r="L52" s="52">
        <v>626.04</v>
      </c>
      <c r="M52" s="52">
        <v>-626.04</v>
      </c>
      <c r="N52" s="52">
        <v>0</v>
      </c>
      <c r="O52" s="52">
        <v>0</v>
      </c>
      <c r="P52" s="52">
        <v>0</v>
      </c>
      <c r="Q52" s="52">
        <v>0</v>
      </c>
      <c r="R52" s="52">
        <v>0</v>
      </c>
      <c r="S52" s="52">
        <v>0</v>
      </c>
      <c r="T52" s="52">
        <f>ROUND(SUM(H52:S52),5)</f>
        <v>0</v>
      </c>
    </row>
    <row r="53" spans="1:20" x14ac:dyDescent="0.3">
      <c r="A53" s="50"/>
      <c r="B53" s="50"/>
      <c r="C53" s="50"/>
      <c r="D53" s="50"/>
      <c r="E53" s="50"/>
      <c r="F53" s="50" t="s">
        <v>114</v>
      </c>
      <c r="G53" s="50"/>
      <c r="H53" s="51">
        <f t="shared" ref="H53:S53" si="11">ROUND(SUM(H50:H52),5)</f>
        <v>1839.28</v>
      </c>
      <c r="I53" s="51">
        <f t="shared" si="11"/>
        <v>1221.78</v>
      </c>
      <c r="J53" s="51">
        <f t="shared" si="11"/>
        <v>1197.02</v>
      </c>
      <c r="K53" s="51">
        <f t="shared" si="11"/>
        <v>1363.28</v>
      </c>
      <c r="L53" s="51">
        <f t="shared" si="11"/>
        <v>2493.0500000000002</v>
      </c>
      <c r="M53" s="51">
        <f t="shared" si="11"/>
        <v>30.56</v>
      </c>
      <c r="N53" s="51">
        <f t="shared" si="11"/>
        <v>1950.84</v>
      </c>
      <c r="O53" s="51">
        <f t="shared" si="11"/>
        <v>1313.48</v>
      </c>
      <c r="P53" s="51">
        <f t="shared" si="11"/>
        <v>1320.95</v>
      </c>
      <c r="Q53" s="51">
        <f t="shared" si="11"/>
        <v>1321.44</v>
      </c>
      <c r="R53" s="51">
        <f t="shared" si="11"/>
        <v>1329.6</v>
      </c>
      <c r="S53" s="51">
        <f t="shared" si="11"/>
        <v>1319.97</v>
      </c>
      <c r="T53" s="51">
        <f>ROUND(SUM(H53:S53),5)</f>
        <v>16701.25</v>
      </c>
    </row>
    <row r="54" spans="1:20" x14ac:dyDescent="0.3">
      <c r="A54" s="50"/>
      <c r="B54" s="50"/>
      <c r="C54" s="50"/>
      <c r="D54" s="50"/>
      <c r="E54" s="50"/>
      <c r="F54" s="50" t="s">
        <v>115</v>
      </c>
      <c r="G54" s="50"/>
      <c r="H54" s="51"/>
      <c r="I54" s="51"/>
      <c r="J54" s="51"/>
      <c r="K54" s="51"/>
      <c r="L54" s="51"/>
      <c r="M54" s="51"/>
      <c r="N54" s="51"/>
      <c r="O54" s="51"/>
      <c r="P54" s="51"/>
      <c r="Q54" s="51"/>
      <c r="R54" s="51"/>
      <c r="S54" s="51"/>
      <c r="T54" s="51"/>
    </row>
    <row r="55" spans="1:20" x14ac:dyDescent="0.3">
      <c r="A55" s="50"/>
      <c r="B55" s="50"/>
      <c r="C55" s="50"/>
      <c r="D55" s="50"/>
      <c r="E55" s="50"/>
      <c r="F55" s="50"/>
      <c r="G55" s="50" t="s">
        <v>116</v>
      </c>
      <c r="H55" s="51">
        <v>2075.37</v>
      </c>
      <c r="I55" s="51">
        <v>1044.3</v>
      </c>
      <c r="J55" s="51">
        <v>1929.56</v>
      </c>
      <c r="K55" s="51">
        <v>543.91</v>
      </c>
      <c r="L55" s="51">
        <v>1118.73</v>
      </c>
      <c r="M55" s="51">
        <v>1323.72</v>
      </c>
      <c r="N55" s="51">
        <v>1471.73</v>
      </c>
      <c r="O55" s="51">
        <v>1019.6</v>
      </c>
      <c r="P55" s="51">
        <v>1547.22</v>
      </c>
      <c r="Q55" s="51">
        <v>2208.17</v>
      </c>
      <c r="R55" s="51">
        <v>1186.3499999999999</v>
      </c>
      <c r="S55" s="51">
        <v>1171.55</v>
      </c>
      <c r="T55" s="51">
        <f>ROUND(SUM(H55:S55),5)</f>
        <v>16640.21</v>
      </c>
    </row>
    <row r="56" spans="1:20" ht="15" thickBot="1" x14ac:dyDescent="0.35">
      <c r="A56" s="50"/>
      <c r="B56" s="50"/>
      <c r="C56" s="50"/>
      <c r="D56" s="50"/>
      <c r="E56" s="50"/>
      <c r="F56" s="50"/>
      <c r="G56" s="50" t="s">
        <v>117</v>
      </c>
      <c r="H56" s="52">
        <v>485.42</v>
      </c>
      <c r="I56" s="52">
        <v>244.22</v>
      </c>
      <c r="J56" s="52">
        <v>451.33</v>
      </c>
      <c r="K56" s="52">
        <v>127.2</v>
      </c>
      <c r="L56" s="52">
        <v>261.66000000000003</v>
      </c>
      <c r="M56" s="52">
        <v>309.60000000000002</v>
      </c>
      <c r="N56" s="52">
        <v>344.23</v>
      </c>
      <c r="O56" s="52">
        <v>238.47</v>
      </c>
      <c r="P56" s="52">
        <v>361.87</v>
      </c>
      <c r="Q56" s="52">
        <v>516.42999999999995</v>
      </c>
      <c r="R56" s="52">
        <v>277.47000000000003</v>
      </c>
      <c r="S56" s="52">
        <v>274.01</v>
      </c>
      <c r="T56" s="52">
        <f>ROUND(SUM(H56:S56),5)</f>
        <v>3891.91</v>
      </c>
    </row>
    <row r="57" spans="1:20" x14ac:dyDescent="0.3">
      <c r="A57" s="50"/>
      <c r="B57" s="50"/>
      <c r="C57" s="50"/>
      <c r="D57" s="50"/>
      <c r="E57" s="50"/>
      <c r="F57" s="50" t="s">
        <v>118</v>
      </c>
      <c r="G57" s="50"/>
      <c r="H57" s="51">
        <f t="shared" ref="H57:S57" si="12">ROUND(SUM(H54:H56),5)</f>
        <v>2560.79</v>
      </c>
      <c r="I57" s="51">
        <f t="shared" si="12"/>
        <v>1288.52</v>
      </c>
      <c r="J57" s="51">
        <f t="shared" si="12"/>
        <v>2380.89</v>
      </c>
      <c r="K57" s="51">
        <f t="shared" si="12"/>
        <v>671.11</v>
      </c>
      <c r="L57" s="51">
        <f t="shared" si="12"/>
        <v>1380.39</v>
      </c>
      <c r="M57" s="51">
        <f t="shared" si="12"/>
        <v>1633.32</v>
      </c>
      <c r="N57" s="51">
        <f t="shared" si="12"/>
        <v>1815.96</v>
      </c>
      <c r="O57" s="51">
        <f t="shared" si="12"/>
        <v>1258.07</v>
      </c>
      <c r="P57" s="51">
        <f t="shared" si="12"/>
        <v>1909.09</v>
      </c>
      <c r="Q57" s="51">
        <f t="shared" si="12"/>
        <v>2724.6</v>
      </c>
      <c r="R57" s="51">
        <f t="shared" si="12"/>
        <v>1463.82</v>
      </c>
      <c r="S57" s="51">
        <f t="shared" si="12"/>
        <v>1445.56</v>
      </c>
      <c r="T57" s="51">
        <f>ROUND(SUM(H57:S57),5)</f>
        <v>20532.12</v>
      </c>
    </row>
    <row r="58" spans="1:20" x14ac:dyDescent="0.3">
      <c r="A58" s="50"/>
      <c r="B58" s="50"/>
      <c r="C58" s="50"/>
      <c r="D58" s="50"/>
      <c r="E58" s="50"/>
      <c r="F58" s="50" t="s">
        <v>119</v>
      </c>
      <c r="G58" s="50"/>
      <c r="H58" s="51"/>
      <c r="I58" s="51"/>
      <c r="J58" s="51"/>
      <c r="K58" s="51"/>
      <c r="L58" s="51"/>
      <c r="M58" s="51"/>
      <c r="N58" s="51"/>
      <c r="O58" s="51"/>
      <c r="P58" s="51"/>
      <c r="Q58" s="51"/>
      <c r="R58" s="51"/>
      <c r="S58" s="51"/>
      <c r="T58" s="51"/>
    </row>
    <row r="59" spans="1:20" x14ac:dyDescent="0.3">
      <c r="A59" s="50"/>
      <c r="B59" s="50"/>
      <c r="C59" s="50"/>
      <c r="D59" s="50"/>
      <c r="E59" s="50"/>
      <c r="F59" s="50"/>
      <c r="G59" s="50" t="s">
        <v>120</v>
      </c>
      <c r="H59" s="51">
        <v>3925.54</v>
      </c>
      <c r="I59" s="51">
        <v>3925.54</v>
      </c>
      <c r="J59" s="51">
        <v>13137.71</v>
      </c>
      <c r="K59" s="51">
        <v>7851.47</v>
      </c>
      <c r="L59" s="51">
        <v>3925.93</v>
      </c>
      <c r="M59" s="51">
        <v>0</v>
      </c>
      <c r="N59" s="51">
        <v>3925.93</v>
      </c>
      <c r="O59" s="51">
        <v>3254.42</v>
      </c>
      <c r="P59" s="51">
        <v>3254.42</v>
      </c>
      <c r="Q59" s="51">
        <v>3379.51</v>
      </c>
      <c r="R59" s="51">
        <v>3379.51</v>
      </c>
      <c r="S59" s="51">
        <v>3379.51</v>
      </c>
      <c r="T59" s="51">
        <f>ROUND(SUM(H59:S59),5)</f>
        <v>53339.49</v>
      </c>
    </row>
    <row r="60" spans="1:20" x14ac:dyDescent="0.3">
      <c r="A60" s="50"/>
      <c r="B60" s="50"/>
      <c r="C60" s="50"/>
      <c r="D60" s="50"/>
      <c r="E60" s="50"/>
      <c r="F60" s="50"/>
      <c r="G60" s="50" t="s">
        <v>121</v>
      </c>
      <c r="H60" s="51">
        <v>49.23</v>
      </c>
      <c r="I60" s="51">
        <v>49.23</v>
      </c>
      <c r="J60" s="51">
        <v>65.28</v>
      </c>
      <c r="K60" s="51">
        <v>147.69</v>
      </c>
      <c r="L60" s="51">
        <v>0</v>
      </c>
      <c r="M60" s="51">
        <v>0</v>
      </c>
      <c r="N60" s="51">
        <v>49.23</v>
      </c>
      <c r="O60" s="51">
        <v>71.760000000000005</v>
      </c>
      <c r="P60" s="51">
        <v>80.66</v>
      </c>
      <c r="Q60" s="51">
        <v>40.33</v>
      </c>
      <c r="R60" s="51">
        <v>0</v>
      </c>
      <c r="S60" s="51">
        <v>80.66</v>
      </c>
      <c r="T60" s="51">
        <f>ROUND(SUM(H60:S60),5)</f>
        <v>634.07000000000005</v>
      </c>
    </row>
    <row r="61" spans="1:20" ht="15" thickBot="1" x14ac:dyDescent="0.35">
      <c r="A61" s="50"/>
      <c r="B61" s="50"/>
      <c r="C61" s="50"/>
      <c r="D61" s="50"/>
      <c r="E61" s="50"/>
      <c r="F61" s="50"/>
      <c r="G61" s="50" t="s">
        <v>122</v>
      </c>
      <c r="H61" s="52">
        <v>332.36</v>
      </c>
      <c r="I61" s="52">
        <v>0</v>
      </c>
      <c r="J61" s="52">
        <v>664.72</v>
      </c>
      <c r="K61" s="52">
        <v>664.72</v>
      </c>
      <c r="L61" s="52">
        <v>332.36</v>
      </c>
      <c r="M61" s="52">
        <v>272.48</v>
      </c>
      <c r="N61" s="52">
        <v>272.48</v>
      </c>
      <c r="O61" s="52">
        <v>272.48</v>
      </c>
      <c r="P61" s="52">
        <v>0</v>
      </c>
      <c r="Q61" s="52">
        <v>544.96</v>
      </c>
      <c r="R61" s="52">
        <v>0</v>
      </c>
      <c r="S61" s="52">
        <v>558.6</v>
      </c>
      <c r="T61" s="52">
        <f>ROUND(SUM(H61:S61),5)</f>
        <v>3915.16</v>
      </c>
    </row>
    <row r="62" spans="1:20" x14ac:dyDescent="0.3">
      <c r="A62" s="50"/>
      <c r="B62" s="50"/>
      <c r="C62" s="50"/>
      <c r="D62" s="50"/>
      <c r="E62" s="50"/>
      <c r="F62" s="50" t="s">
        <v>123</v>
      </c>
      <c r="G62" s="50"/>
      <c r="H62" s="51">
        <f t="shared" ref="H62:S62" si="13">ROUND(SUM(H58:H61),5)</f>
        <v>4307.13</v>
      </c>
      <c r="I62" s="51">
        <f t="shared" si="13"/>
        <v>3974.77</v>
      </c>
      <c r="J62" s="51">
        <f t="shared" si="13"/>
        <v>13867.71</v>
      </c>
      <c r="K62" s="51">
        <f t="shared" si="13"/>
        <v>8663.8799999999992</v>
      </c>
      <c r="L62" s="51">
        <f t="shared" si="13"/>
        <v>4258.29</v>
      </c>
      <c r="M62" s="51">
        <f t="shared" si="13"/>
        <v>272.48</v>
      </c>
      <c r="N62" s="51">
        <f t="shared" si="13"/>
        <v>4247.6400000000003</v>
      </c>
      <c r="O62" s="51">
        <f t="shared" si="13"/>
        <v>3598.66</v>
      </c>
      <c r="P62" s="51">
        <f t="shared" si="13"/>
        <v>3335.08</v>
      </c>
      <c r="Q62" s="51">
        <f t="shared" si="13"/>
        <v>3964.8</v>
      </c>
      <c r="R62" s="51">
        <f t="shared" si="13"/>
        <v>3379.51</v>
      </c>
      <c r="S62" s="51">
        <f t="shared" si="13"/>
        <v>4018.77</v>
      </c>
      <c r="T62" s="51">
        <f>ROUND(SUM(H62:S62),5)</f>
        <v>57888.72</v>
      </c>
    </row>
    <row r="63" spans="1:20" x14ac:dyDescent="0.3">
      <c r="A63" s="50"/>
      <c r="B63" s="50"/>
      <c r="C63" s="50"/>
      <c r="D63" s="50"/>
      <c r="E63" s="50"/>
      <c r="F63" s="50" t="s">
        <v>124</v>
      </c>
      <c r="G63" s="50"/>
      <c r="H63" s="51"/>
      <c r="I63" s="51"/>
      <c r="J63" s="51"/>
      <c r="K63" s="51"/>
      <c r="L63" s="51"/>
      <c r="M63" s="51"/>
      <c r="N63" s="51"/>
      <c r="O63" s="51"/>
      <c r="P63" s="51"/>
      <c r="Q63" s="51"/>
      <c r="R63" s="51"/>
      <c r="S63" s="51"/>
      <c r="T63" s="51"/>
    </row>
    <row r="64" spans="1:20" x14ac:dyDescent="0.3">
      <c r="A64" s="50"/>
      <c r="B64" s="50"/>
      <c r="C64" s="50"/>
      <c r="D64" s="50"/>
      <c r="E64" s="50"/>
      <c r="F64" s="50"/>
      <c r="G64" s="50" t="s">
        <v>125</v>
      </c>
      <c r="H64" s="51">
        <v>1042.3699999999999</v>
      </c>
      <c r="I64" s="51">
        <v>1042.3699999999999</v>
      </c>
      <c r="J64" s="51">
        <v>1042.3499999999999</v>
      </c>
      <c r="K64" s="51">
        <v>920.16</v>
      </c>
      <c r="L64" s="51">
        <v>2249.3000000000002</v>
      </c>
      <c r="M64" s="51">
        <v>920.16</v>
      </c>
      <c r="N64" s="51">
        <v>920.16</v>
      </c>
      <c r="O64" s="51">
        <v>920.16</v>
      </c>
      <c r="P64" s="51">
        <v>920.16</v>
      </c>
      <c r="Q64" s="51">
        <v>920.16</v>
      </c>
      <c r="R64" s="51">
        <v>920.16</v>
      </c>
      <c r="S64" s="51">
        <v>920.16</v>
      </c>
      <c r="T64" s="51">
        <f>ROUND(SUM(H64:S64),5)</f>
        <v>12737.67</v>
      </c>
    </row>
    <row r="65" spans="1:20" ht="15" thickBot="1" x14ac:dyDescent="0.35">
      <c r="A65" s="50"/>
      <c r="B65" s="50"/>
      <c r="C65" s="50"/>
      <c r="D65" s="50"/>
      <c r="E65" s="50"/>
      <c r="F65" s="50"/>
      <c r="G65" s="50" t="s">
        <v>126</v>
      </c>
      <c r="H65" s="51">
        <v>94.54</v>
      </c>
      <c r="I65" s="51">
        <v>0</v>
      </c>
      <c r="J65" s="51">
        <v>44.25</v>
      </c>
      <c r="K65" s="51">
        <v>0.75</v>
      </c>
      <c r="L65" s="51">
        <v>22.5</v>
      </c>
      <c r="M65" s="51">
        <v>22.5</v>
      </c>
      <c r="N65" s="51">
        <v>22.5</v>
      </c>
      <c r="O65" s="51">
        <v>25.85</v>
      </c>
      <c r="P65" s="51">
        <v>94.84</v>
      </c>
      <c r="Q65" s="51">
        <v>477</v>
      </c>
      <c r="R65" s="51">
        <v>266.7</v>
      </c>
      <c r="S65" s="51">
        <v>140.5</v>
      </c>
      <c r="T65" s="51">
        <f>ROUND(SUM(H65:S65),5)</f>
        <v>1211.93</v>
      </c>
    </row>
    <row r="66" spans="1:20" ht="15" thickBot="1" x14ac:dyDescent="0.35">
      <c r="A66" s="50"/>
      <c r="B66" s="50"/>
      <c r="C66" s="50"/>
      <c r="D66" s="50"/>
      <c r="E66" s="50"/>
      <c r="F66" s="50" t="s">
        <v>127</v>
      </c>
      <c r="G66" s="50"/>
      <c r="H66" s="53">
        <f t="shared" ref="H66:S66" si="14">ROUND(SUM(H63:H65),5)</f>
        <v>1136.9100000000001</v>
      </c>
      <c r="I66" s="53">
        <f t="shared" si="14"/>
        <v>1042.3699999999999</v>
      </c>
      <c r="J66" s="53">
        <f t="shared" si="14"/>
        <v>1086.5999999999999</v>
      </c>
      <c r="K66" s="53">
        <f t="shared" si="14"/>
        <v>920.91</v>
      </c>
      <c r="L66" s="53">
        <f t="shared" si="14"/>
        <v>2271.8000000000002</v>
      </c>
      <c r="M66" s="53">
        <f t="shared" si="14"/>
        <v>942.66</v>
      </c>
      <c r="N66" s="53">
        <f t="shared" si="14"/>
        <v>942.66</v>
      </c>
      <c r="O66" s="53">
        <f t="shared" si="14"/>
        <v>946.01</v>
      </c>
      <c r="P66" s="53">
        <f t="shared" si="14"/>
        <v>1015</v>
      </c>
      <c r="Q66" s="53">
        <f t="shared" si="14"/>
        <v>1397.16</v>
      </c>
      <c r="R66" s="53">
        <f t="shared" si="14"/>
        <v>1186.8599999999999</v>
      </c>
      <c r="S66" s="53">
        <f t="shared" si="14"/>
        <v>1060.6600000000001</v>
      </c>
      <c r="T66" s="53">
        <f>ROUND(SUM(H66:S66),5)</f>
        <v>13949.6</v>
      </c>
    </row>
    <row r="67" spans="1:20" x14ac:dyDescent="0.3">
      <c r="A67" s="50"/>
      <c r="B67" s="50"/>
      <c r="C67" s="50"/>
      <c r="D67" s="50"/>
      <c r="E67" s="50" t="s">
        <v>128</v>
      </c>
      <c r="F67" s="50"/>
      <c r="G67" s="50"/>
      <c r="H67" s="51">
        <f t="shared" ref="H67:S67" si="15">ROUND(H40+H46+H49+H53+H57+H62+H66,5)</f>
        <v>41853.379999999997</v>
      </c>
      <c r="I67" s="51">
        <f t="shared" si="15"/>
        <v>24406.39</v>
      </c>
      <c r="J67" s="51">
        <f t="shared" si="15"/>
        <v>40555.71</v>
      </c>
      <c r="K67" s="51">
        <f t="shared" si="15"/>
        <v>20427.5</v>
      </c>
      <c r="L67" s="51">
        <f t="shared" si="15"/>
        <v>27733.33</v>
      </c>
      <c r="M67" s="51">
        <f t="shared" si="15"/>
        <v>23514.880000000001</v>
      </c>
      <c r="N67" s="51">
        <f t="shared" si="15"/>
        <v>33234.839999999997</v>
      </c>
      <c r="O67" s="51">
        <f t="shared" si="15"/>
        <v>23848.2</v>
      </c>
      <c r="P67" s="51">
        <f t="shared" si="15"/>
        <v>31970.85</v>
      </c>
      <c r="Q67" s="51">
        <f t="shared" si="15"/>
        <v>45059.15</v>
      </c>
      <c r="R67" s="51">
        <f t="shared" si="15"/>
        <v>25780.14</v>
      </c>
      <c r="S67" s="51">
        <f t="shared" si="15"/>
        <v>26176.5</v>
      </c>
      <c r="T67" s="51">
        <f>ROUND(SUM(H67:S67),5)</f>
        <v>364560.87</v>
      </c>
    </row>
    <row r="68" spans="1:20" x14ac:dyDescent="0.3">
      <c r="A68" s="50"/>
      <c r="B68" s="50"/>
      <c r="C68" s="50"/>
      <c r="D68" s="50"/>
      <c r="E68" s="50" t="s">
        <v>129</v>
      </c>
      <c r="F68" s="50"/>
      <c r="G68" s="50"/>
      <c r="H68" s="51"/>
      <c r="I68" s="51"/>
      <c r="J68" s="51"/>
      <c r="K68" s="51"/>
      <c r="L68" s="51"/>
      <c r="M68" s="51"/>
      <c r="N68" s="51"/>
      <c r="O68" s="51"/>
      <c r="P68" s="51"/>
      <c r="Q68" s="51"/>
      <c r="R68" s="51"/>
      <c r="S68" s="51"/>
      <c r="T68" s="51"/>
    </row>
    <row r="69" spans="1:20" x14ac:dyDescent="0.3">
      <c r="A69" s="50"/>
      <c r="B69" s="50"/>
      <c r="C69" s="50"/>
      <c r="D69" s="50"/>
      <c r="E69" s="50"/>
      <c r="F69" s="50" t="s">
        <v>130</v>
      </c>
      <c r="G69" s="50"/>
      <c r="H69" s="51"/>
      <c r="I69" s="51"/>
      <c r="J69" s="51"/>
      <c r="K69" s="51"/>
      <c r="L69" s="51"/>
      <c r="M69" s="51"/>
      <c r="N69" s="51"/>
      <c r="O69" s="51"/>
      <c r="P69" s="51"/>
      <c r="Q69" s="51"/>
      <c r="R69" s="51"/>
      <c r="S69" s="51"/>
      <c r="T69" s="51"/>
    </row>
    <row r="70" spans="1:20" x14ac:dyDescent="0.3">
      <c r="A70" s="50"/>
      <c r="B70" s="50"/>
      <c r="C70" s="50"/>
      <c r="D70" s="50"/>
      <c r="E70" s="50"/>
      <c r="F70" s="50"/>
      <c r="G70" s="50" t="s">
        <v>131</v>
      </c>
      <c r="H70" s="51">
        <v>336.79</v>
      </c>
      <c r="I70" s="51">
        <v>336.79</v>
      </c>
      <c r="J70" s="51">
        <v>336.79</v>
      </c>
      <c r="K70" s="51">
        <v>336.79</v>
      </c>
      <c r="L70" s="51">
        <v>343.57</v>
      </c>
      <c r="M70" s="51">
        <v>340.18</v>
      </c>
      <c r="N70" s="51">
        <v>340.18</v>
      </c>
      <c r="O70" s="51">
        <v>471.16</v>
      </c>
      <c r="P70" s="51">
        <v>340.18</v>
      </c>
      <c r="Q70" s="51">
        <v>340.18</v>
      </c>
      <c r="R70" s="51">
        <v>340.18</v>
      </c>
      <c r="S70" s="51">
        <v>340.18</v>
      </c>
      <c r="T70" s="51">
        <f>ROUND(SUM(H70:S70),5)</f>
        <v>4202.97</v>
      </c>
    </row>
    <row r="71" spans="1:20" ht="15" thickBot="1" x14ac:dyDescent="0.35">
      <c r="A71" s="50"/>
      <c r="B71" s="50"/>
      <c r="C71" s="50"/>
      <c r="D71" s="50"/>
      <c r="E71" s="50"/>
      <c r="F71" s="50"/>
      <c r="G71" s="50" t="s">
        <v>132</v>
      </c>
      <c r="H71" s="52">
        <v>320.44</v>
      </c>
      <c r="I71" s="52">
        <v>448.73</v>
      </c>
      <c r="J71" s="52">
        <v>1125.5899999999999</v>
      </c>
      <c r="K71" s="52">
        <v>0</v>
      </c>
      <c r="L71" s="52">
        <v>613.13</v>
      </c>
      <c r="M71" s="52">
        <v>621.05999999999995</v>
      </c>
      <c r="N71" s="52">
        <v>649.05999999999995</v>
      </c>
      <c r="O71" s="52">
        <v>447.52</v>
      </c>
      <c r="P71" s="52">
        <v>449.1</v>
      </c>
      <c r="Q71" s="52">
        <v>352.72</v>
      </c>
      <c r="R71" s="52">
        <v>368.99</v>
      </c>
      <c r="S71" s="52">
        <v>439.86</v>
      </c>
      <c r="T71" s="52">
        <f>ROUND(SUM(H71:S71),5)</f>
        <v>5836.2</v>
      </c>
    </row>
    <row r="72" spans="1:20" x14ac:dyDescent="0.3">
      <c r="A72" s="50"/>
      <c r="B72" s="50"/>
      <c r="C72" s="50"/>
      <c r="D72" s="50"/>
      <c r="E72" s="50"/>
      <c r="F72" s="50" t="s">
        <v>133</v>
      </c>
      <c r="G72" s="50"/>
      <c r="H72" s="51">
        <f t="shared" ref="H72:S72" si="16">ROUND(SUM(H69:H71),5)</f>
        <v>657.23</v>
      </c>
      <c r="I72" s="51">
        <f t="shared" si="16"/>
        <v>785.52</v>
      </c>
      <c r="J72" s="51">
        <f t="shared" si="16"/>
        <v>1462.38</v>
      </c>
      <c r="K72" s="51">
        <f t="shared" si="16"/>
        <v>336.79</v>
      </c>
      <c r="L72" s="51">
        <f t="shared" si="16"/>
        <v>956.7</v>
      </c>
      <c r="M72" s="51">
        <f t="shared" si="16"/>
        <v>961.24</v>
      </c>
      <c r="N72" s="51">
        <f t="shared" si="16"/>
        <v>989.24</v>
      </c>
      <c r="O72" s="51">
        <f t="shared" si="16"/>
        <v>918.68</v>
      </c>
      <c r="P72" s="51">
        <f t="shared" si="16"/>
        <v>789.28</v>
      </c>
      <c r="Q72" s="51">
        <f t="shared" si="16"/>
        <v>692.9</v>
      </c>
      <c r="R72" s="51">
        <f t="shared" si="16"/>
        <v>709.17</v>
      </c>
      <c r="S72" s="51">
        <f t="shared" si="16"/>
        <v>780.04</v>
      </c>
      <c r="T72" s="51">
        <f>ROUND(SUM(H72:S72),5)</f>
        <v>10039.17</v>
      </c>
    </row>
    <row r="73" spans="1:20" x14ac:dyDescent="0.3">
      <c r="A73" s="50"/>
      <c r="B73" s="50"/>
      <c r="C73" s="50"/>
      <c r="D73" s="50"/>
      <c r="E73" s="50"/>
      <c r="F73" s="50" t="s">
        <v>134</v>
      </c>
      <c r="G73" s="50"/>
      <c r="H73" s="51"/>
      <c r="I73" s="51"/>
      <c r="J73" s="51"/>
      <c r="K73" s="51"/>
      <c r="L73" s="51"/>
      <c r="M73" s="51"/>
      <c r="N73" s="51"/>
      <c r="O73" s="51"/>
      <c r="P73" s="51"/>
      <c r="Q73" s="51"/>
      <c r="R73" s="51"/>
      <c r="S73" s="51"/>
      <c r="T73" s="51"/>
    </row>
    <row r="74" spans="1:20" x14ac:dyDescent="0.3">
      <c r="A74" s="50"/>
      <c r="B74" s="50"/>
      <c r="C74" s="50"/>
      <c r="D74" s="50"/>
      <c r="E74" s="50"/>
      <c r="F74" s="50"/>
      <c r="G74" s="50" t="s">
        <v>135</v>
      </c>
      <c r="H74" s="51">
        <v>1500</v>
      </c>
      <c r="I74" s="51">
        <v>0</v>
      </c>
      <c r="J74" s="51">
        <v>1500</v>
      </c>
      <c r="K74" s="51">
        <v>0</v>
      </c>
      <c r="L74" s="51">
        <v>750</v>
      </c>
      <c r="M74" s="51">
        <v>750</v>
      </c>
      <c r="N74" s="51">
        <v>750</v>
      </c>
      <c r="O74" s="51">
        <v>600</v>
      </c>
      <c r="P74" s="51">
        <v>600</v>
      </c>
      <c r="Q74" s="51">
        <v>0</v>
      </c>
      <c r="R74" s="51">
        <v>750</v>
      </c>
      <c r="S74" s="51">
        <v>600</v>
      </c>
      <c r="T74" s="51">
        <f t="shared" ref="T74:T103" si="17">ROUND(SUM(H74:S74),5)</f>
        <v>7800</v>
      </c>
    </row>
    <row r="75" spans="1:20" x14ac:dyDescent="0.3">
      <c r="A75" s="50"/>
      <c r="B75" s="50"/>
      <c r="C75" s="50"/>
      <c r="D75" s="50"/>
      <c r="E75" s="50"/>
      <c r="F75" s="50"/>
      <c r="G75" s="50" t="s">
        <v>136</v>
      </c>
      <c r="H75" s="51">
        <v>295.25</v>
      </c>
      <c r="I75" s="51">
        <v>206.84</v>
      </c>
      <c r="J75" s="51">
        <v>206.84</v>
      </c>
      <c r="K75" s="51">
        <v>258.55</v>
      </c>
      <c r="L75" s="51">
        <v>206.84</v>
      </c>
      <c r="M75" s="51">
        <v>0</v>
      </c>
      <c r="N75" s="51">
        <v>210.34</v>
      </c>
      <c r="O75" s="51">
        <v>332.12</v>
      </c>
      <c r="P75" s="51">
        <v>403.48</v>
      </c>
      <c r="Q75" s="51">
        <v>405.04</v>
      </c>
      <c r="R75" s="51">
        <v>200.52</v>
      </c>
      <c r="S75" s="51">
        <v>131.38999999999999</v>
      </c>
      <c r="T75" s="51">
        <f t="shared" si="17"/>
        <v>2857.21</v>
      </c>
    </row>
    <row r="76" spans="1:20" x14ac:dyDescent="0.3">
      <c r="A76" s="50"/>
      <c r="B76" s="50"/>
      <c r="C76" s="50"/>
      <c r="D76" s="50"/>
      <c r="E76" s="50"/>
      <c r="F76" s="50"/>
      <c r="G76" s="50" t="s">
        <v>137</v>
      </c>
      <c r="H76" s="51">
        <v>517.94000000000005</v>
      </c>
      <c r="I76" s="51">
        <v>0</v>
      </c>
      <c r="J76" s="51">
        <v>512.9</v>
      </c>
      <c r="K76" s="51">
        <v>0</v>
      </c>
      <c r="L76" s="51">
        <v>260.75</v>
      </c>
      <c r="M76" s="51">
        <v>0</v>
      </c>
      <c r="N76" s="51">
        <v>260.63</v>
      </c>
      <c r="O76" s="51">
        <v>551.49</v>
      </c>
      <c r="P76" s="51">
        <v>0</v>
      </c>
      <c r="Q76" s="51">
        <v>470.42</v>
      </c>
      <c r="R76" s="51">
        <v>210.39</v>
      </c>
      <c r="S76" s="51">
        <v>210.39</v>
      </c>
      <c r="T76" s="51">
        <f t="shared" si="17"/>
        <v>2994.91</v>
      </c>
    </row>
    <row r="77" spans="1:20" x14ac:dyDescent="0.3">
      <c r="A77" s="50"/>
      <c r="B77" s="50"/>
      <c r="C77" s="50"/>
      <c r="D77" s="50"/>
      <c r="E77" s="50"/>
      <c r="F77" s="50"/>
      <c r="G77" s="50" t="s">
        <v>138</v>
      </c>
      <c r="H77" s="51">
        <v>0</v>
      </c>
      <c r="I77" s="51">
        <v>0</v>
      </c>
      <c r="J77" s="51">
        <v>47.2</v>
      </c>
      <c r="K77" s="51">
        <v>0</v>
      </c>
      <c r="L77" s="51">
        <v>13.5</v>
      </c>
      <c r="M77" s="51">
        <v>0</v>
      </c>
      <c r="N77" s="51">
        <v>0</v>
      </c>
      <c r="O77" s="51">
        <v>0</v>
      </c>
      <c r="P77" s="51">
        <v>0</v>
      </c>
      <c r="Q77" s="51">
        <v>0</v>
      </c>
      <c r="R77" s="51">
        <v>0</v>
      </c>
      <c r="S77" s="51">
        <v>0</v>
      </c>
      <c r="T77" s="51">
        <f t="shared" si="17"/>
        <v>60.7</v>
      </c>
    </row>
    <row r="78" spans="1:20" x14ac:dyDescent="0.3">
      <c r="A78" s="50"/>
      <c r="B78" s="50"/>
      <c r="C78" s="50"/>
      <c r="D78" s="50"/>
      <c r="E78" s="50"/>
      <c r="F78" s="50"/>
      <c r="G78" s="50" t="s">
        <v>139</v>
      </c>
      <c r="H78" s="51">
        <v>1196.9100000000001</v>
      </c>
      <c r="I78" s="51">
        <v>1196.9100000000001</v>
      </c>
      <c r="J78" s="51">
        <v>1196.8900000000001</v>
      </c>
      <c r="K78" s="51">
        <v>1321.74</v>
      </c>
      <c r="L78" s="51">
        <v>1321.74</v>
      </c>
      <c r="M78" s="51">
        <v>1321.74</v>
      </c>
      <c r="N78" s="51">
        <v>1321.74</v>
      </c>
      <c r="O78" s="51">
        <v>1371.24</v>
      </c>
      <c r="P78" s="51">
        <v>1371.24</v>
      </c>
      <c r="Q78" s="51">
        <v>1371.24</v>
      </c>
      <c r="R78" s="51">
        <v>1371.24</v>
      </c>
      <c r="S78" s="51">
        <v>1371.24</v>
      </c>
      <c r="T78" s="51">
        <f t="shared" si="17"/>
        <v>15733.87</v>
      </c>
    </row>
    <row r="79" spans="1:20" x14ac:dyDescent="0.3">
      <c r="A79" s="50"/>
      <c r="B79" s="50"/>
      <c r="C79" s="50"/>
      <c r="D79" s="50"/>
      <c r="E79" s="50"/>
      <c r="F79" s="50"/>
      <c r="G79" s="50" t="s">
        <v>140</v>
      </c>
      <c r="H79" s="51">
        <v>0</v>
      </c>
      <c r="I79" s="51">
        <v>0</v>
      </c>
      <c r="J79" s="51">
        <v>0</v>
      </c>
      <c r="K79" s="51">
        <v>0</v>
      </c>
      <c r="L79" s="51">
        <v>120</v>
      </c>
      <c r="M79" s="51">
        <v>0</v>
      </c>
      <c r="N79" s="51">
        <v>2669</v>
      </c>
      <c r="O79" s="51">
        <v>284</v>
      </c>
      <c r="P79" s="51">
        <v>0</v>
      </c>
      <c r="Q79" s="51">
        <v>0</v>
      </c>
      <c r="R79" s="51">
        <v>175</v>
      </c>
      <c r="S79" s="51">
        <v>0</v>
      </c>
      <c r="T79" s="51">
        <f t="shared" si="17"/>
        <v>3248</v>
      </c>
    </row>
    <row r="80" spans="1:20" x14ac:dyDescent="0.3">
      <c r="A80" s="50"/>
      <c r="B80" s="50"/>
      <c r="C80" s="50"/>
      <c r="D80" s="50"/>
      <c r="E80" s="50"/>
      <c r="F80" s="50"/>
      <c r="G80" s="50" t="s">
        <v>141</v>
      </c>
      <c r="H80" s="51">
        <v>16</v>
      </c>
      <c r="I80" s="51">
        <v>16</v>
      </c>
      <c r="J80" s="51">
        <v>16</v>
      </c>
      <c r="K80" s="51">
        <v>16</v>
      </c>
      <c r="L80" s="51">
        <v>16</v>
      </c>
      <c r="M80" s="51">
        <v>16</v>
      </c>
      <c r="N80" s="51">
        <v>16</v>
      </c>
      <c r="O80" s="51">
        <v>31</v>
      </c>
      <c r="P80" s="51">
        <v>16</v>
      </c>
      <c r="Q80" s="51">
        <v>16</v>
      </c>
      <c r="R80" s="51">
        <v>26</v>
      </c>
      <c r="S80" s="51">
        <v>16</v>
      </c>
      <c r="T80" s="51">
        <f t="shared" si="17"/>
        <v>217</v>
      </c>
    </row>
    <row r="81" spans="1:20" x14ac:dyDescent="0.3">
      <c r="A81" s="50"/>
      <c r="B81" s="50"/>
      <c r="C81" s="50"/>
      <c r="D81" s="50"/>
      <c r="E81" s="50"/>
      <c r="F81" s="50"/>
      <c r="G81" s="50" t="s">
        <v>142</v>
      </c>
      <c r="H81" s="51">
        <v>0</v>
      </c>
      <c r="I81" s="51">
        <v>261</v>
      </c>
      <c r="J81" s="51">
        <v>0</v>
      </c>
      <c r="K81" s="51">
        <v>0</v>
      </c>
      <c r="L81" s="51">
        <v>0</v>
      </c>
      <c r="M81" s="51">
        <v>0</v>
      </c>
      <c r="N81" s="51">
        <v>0</v>
      </c>
      <c r="O81" s="51">
        <v>0</v>
      </c>
      <c r="P81" s="51">
        <v>0</v>
      </c>
      <c r="Q81" s="51">
        <v>0</v>
      </c>
      <c r="R81" s="51">
        <v>0</v>
      </c>
      <c r="S81" s="51">
        <v>0</v>
      </c>
      <c r="T81" s="51">
        <f t="shared" si="17"/>
        <v>261</v>
      </c>
    </row>
    <row r="82" spans="1:20" x14ac:dyDescent="0.3">
      <c r="A82" s="50"/>
      <c r="B82" s="50"/>
      <c r="C82" s="50"/>
      <c r="D82" s="50"/>
      <c r="E82" s="50"/>
      <c r="F82" s="50"/>
      <c r="G82" s="50" t="s">
        <v>143</v>
      </c>
      <c r="H82" s="51">
        <v>1129.01</v>
      </c>
      <c r="I82" s="51">
        <v>355.87</v>
      </c>
      <c r="J82" s="51">
        <v>566.09</v>
      </c>
      <c r="K82" s="51">
        <v>2.99</v>
      </c>
      <c r="L82" s="51">
        <v>356.44</v>
      </c>
      <c r="M82" s="51">
        <v>356.92</v>
      </c>
      <c r="N82" s="51">
        <v>356.92</v>
      </c>
      <c r="O82" s="51">
        <v>848.03</v>
      </c>
      <c r="P82" s="51">
        <v>497.98</v>
      </c>
      <c r="Q82" s="51">
        <v>354.64</v>
      </c>
      <c r="R82" s="51">
        <v>371.91</v>
      </c>
      <c r="S82" s="51">
        <v>815.47</v>
      </c>
      <c r="T82" s="51">
        <f t="shared" si="17"/>
        <v>6012.27</v>
      </c>
    </row>
    <row r="83" spans="1:20" x14ac:dyDescent="0.3">
      <c r="A83" s="50"/>
      <c r="B83" s="50"/>
      <c r="C83" s="50"/>
      <c r="D83" s="50"/>
      <c r="E83" s="50"/>
      <c r="F83" s="50"/>
      <c r="G83" s="50" t="s">
        <v>144</v>
      </c>
      <c r="H83" s="51">
        <v>0</v>
      </c>
      <c r="I83" s="51">
        <v>0</v>
      </c>
      <c r="J83" s="51">
        <v>0</v>
      </c>
      <c r="K83" s="51">
        <v>0</v>
      </c>
      <c r="L83" s="51">
        <v>0</v>
      </c>
      <c r="M83" s="51">
        <v>0</v>
      </c>
      <c r="N83" s="51">
        <v>0</v>
      </c>
      <c r="O83" s="51">
        <v>0</v>
      </c>
      <c r="P83" s="51">
        <v>0</v>
      </c>
      <c r="Q83" s="51">
        <v>418.65</v>
      </c>
      <c r="R83" s="51">
        <v>0</v>
      </c>
      <c r="S83" s="51">
        <v>270.52</v>
      </c>
      <c r="T83" s="51">
        <f t="shared" si="17"/>
        <v>689.17</v>
      </c>
    </row>
    <row r="84" spans="1:20" x14ac:dyDescent="0.3">
      <c r="A84" s="50"/>
      <c r="B84" s="50"/>
      <c r="C84" s="50"/>
      <c r="D84" s="50"/>
      <c r="E84" s="50"/>
      <c r="F84" s="50"/>
      <c r="G84" s="50" t="s">
        <v>145</v>
      </c>
      <c r="H84" s="51">
        <v>162.65</v>
      </c>
      <c r="I84" s="51">
        <v>89.84</v>
      </c>
      <c r="J84" s="51">
        <v>134.16</v>
      </c>
      <c r="K84" s="51">
        <v>364.31</v>
      </c>
      <c r="L84" s="51">
        <v>41.55</v>
      </c>
      <c r="M84" s="51">
        <v>778.44</v>
      </c>
      <c r="N84" s="51">
        <v>71.599999999999994</v>
      </c>
      <c r="O84" s="51">
        <v>0</v>
      </c>
      <c r="P84" s="51">
        <v>601.58000000000004</v>
      </c>
      <c r="Q84" s="51">
        <v>0</v>
      </c>
      <c r="R84" s="51">
        <v>0</v>
      </c>
      <c r="S84" s="51">
        <v>411.56</v>
      </c>
      <c r="T84" s="51">
        <f t="shared" si="17"/>
        <v>2655.69</v>
      </c>
    </row>
    <row r="85" spans="1:20" x14ac:dyDescent="0.3">
      <c r="A85" s="50"/>
      <c r="B85" s="50"/>
      <c r="C85" s="50"/>
      <c r="D85" s="50"/>
      <c r="E85" s="50"/>
      <c r="F85" s="50"/>
      <c r="G85" s="50" t="s">
        <v>146</v>
      </c>
      <c r="H85" s="51">
        <v>44.39</v>
      </c>
      <c r="I85" s="51">
        <v>0</v>
      </c>
      <c r="J85" s="51">
        <v>245</v>
      </c>
      <c r="K85" s="51">
        <v>0</v>
      </c>
      <c r="L85" s="51">
        <v>0</v>
      </c>
      <c r="M85" s="51">
        <v>160.51</v>
      </c>
      <c r="N85" s="51">
        <v>232</v>
      </c>
      <c r="O85" s="51">
        <v>0</v>
      </c>
      <c r="P85" s="51">
        <v>0</v>
      </c>
      <c r="Q85" s="51">
        <v>0</v>
      </c>
      <c r="R85" s="51">
        <v>0</v>
      </c>
      <c r="S85" s="51">
        <v>0</v>
      </c>
      <c r="T85" s="51">
        <f t="shared" si="17"/>
        <v>681.9</v>
      </c>
    </row>
    <row r="86" spans="1:20" x14ac:dyDescent="0.3">
      <c r="A86" s="50"/>
      <c r="B86" s="50"/>
      <c r="C86" s="50"/>
      <c r="D86" s="50"/>
      <c r="E86" s="50"/>
      <c r="F86" s="50"/>
      <c r="G86" s="50" t="s">
        <v>147</v>
      </c>
      <c r="H86" s="51">
        <v>195.72</v>
      </c>
      <c r="I86" s="51">
        <v>0</v>
      </c>
      <c r="J86" s="51">
        <v>369.97</v>
      </c>
      <c r="K86" s="51">
        <v>0</v>
      </c>
      <c r="L86" s="51">
        <v>0</v>
      </c>
      <c r="M86" s="51">
        <v>0</v>
      </c>
      <c r="N86" s="51">
        <v>0</v>
      </c>
      <c r="O86" s="51">
        <v>803.32</v>
      </c>
      <c r="P86" s="51">
        <v>0</v>
      </c>
      <c r="Q86" s="51">
        <v>0</v>
      </c>
      <c r="R86" s="51">
        <v>0</v>
      </c>
      <c r="S86" s="51">
        <v>5.98</v>
      </c>
      <c r="T86" s="51">
        <f t="shared" si="17"/>
        <v>1374.99</v>
      </c>
    </row>
    <row r="87" spans="1:20" x14ac:dyDescent="0.3">
      <c r="A87" s="50"/>
      <c r="B87" s="50"/>
      <c r="C87" s="50"/>
      <c r="D87" s="50"/>
      <c r="E87" s="50"/>
      <c r="F87" s="50"/>
      <c r="G87" s="50" t="s">
        <v>232</v>
      </c>
      <c r="H87" s="51">
        <v>0</v>
      </c>
      <c r="I87" s="51">
        <v>0</v>
      </c>
      <c r="J87" s="51">
        <v>0</v>
      </c>
      <c r="K87" s="51">
        <v>92.05</v>
      </c>
      <c r="L87" s="51">
        <v>0</v>
      </c>
      <c r="M87" s="51">
        <v>0</v>
      </c>
      <c r="N87" s="51">
        <v>0</v>
      </c>
      <c r="O87" s="51">
        <v>0</v>
      </c>
      <c r="P87" s="51">
        <v>0</v>
      </c>
      <c r="Q87" s="51">
        <v>0</v>
      </c>
      <c r="R87" s="51">
        <v>53.22</v>
      </c>
      <c r="S87" s="51">
        <v>0</v>
      </c>
      <c r="T87" s="51">
        <f t="shared" si="17"/>
        <v>145.27000000000001</v>
      </c>
    </row>
    <row r="88" spans="1:20" x14ac:dyDescent="0.3">
      <c r="A88" s="50"/>
      <c r="B88" s="50"/>
      <c r="C88" s="50"/>
      <c r="D88" s="50"/>
      <c r="E88" s="50"/>
      <c r="F88" s="50"/>
      <c r="G88" s="50" t="s">
        <v>148</v>
      </c>
      <c r="H88" s="51">
        <v>115</v>
      </c>
      <c r="I88" s="51">
        <v>115</v>
      </c>
      <c r="J88" s="51">
        <v>115</v>
      </c>
      <c r="K88" s="51">
        <v>115</v>
      </c>
      <c r="L88" s="51">
        <v>115</v>
      </c>
      <c r="M88" s="51">
        <v>230</v>
      </c>
      <c r="N88" s="51">
        <v>0</v>
      </c>
      <c r="O88" s="51">
        <v>115</v>
      </c>
      <c r="P88" s="51">
        <v>115</v>
      </c>
      <c r="Q88" s="51">
        <v>115</v>
      </c>
      <c r="R88" s="51">
        <v>115</v>
      </c>
      <c r="S88" s="51">
        <v>115</v>
      </c>
      <c r="T88" s="51">
        <f t="shared" si="17"/>
        <v>1380</v>
      </c>
    </row>
    <row r="89" spans="1:20" x14ac:dyDescent="0.3">
      <c r="A89" s="50"/>
      <c r="B89" s="50"/>
      <c r="C89" s="50"/>
      <c r="D89" s="50"/>
      <c r="E89" s="50"/>
      <c r="F89" s="50"/>
      <c r="G89" s="50" t="s">
        <v>149</v>
      </c>
      <c r="H89" s="51">
        <v>463.17</v>
      </c>
      <c r="I89" s="51">
        <v>237.68</v>
      </c>
      <c r="J89" s="51">
        <v>270.11</v>
      </c>
      <c r="K89" s="51">
        <v>287.19</v>
      </c>
      <c r="L89" s="51">
        <v>277.58999999999997</v>
      </c>
      <c r="M89" s="51">
        <v>296</v>
      </c>
      <c r="N89" s="51">
        <v>391.54</v>
      </c>
      <c r="O89" s="51">
        <v>266.11</v>
      </c>
      <c r="P89" s="51">
        <v>294.98</v>
      </c>
      <c r="Q89" s="51">
        <v>436.26</v>
      </c>
      <c r="R89" s="51">
        <v>30.18</v>
      </c>
      <c r="S89" s="51">
        <v>26.68</v>
      </c>
      <c r="T89" s="51">
        <f t="shared" si="17"/>
        <v>3277.49</v>
      </c>
    </row>
    <row r="90" spans="1:20" x14ac:dyDescent="0.3">
      <c r="A90" s="50"/>
      <c r="B90" s="50"/>
      <c r="C90" s="50"/>
      <c r="D90" s="50"/>
      <c r="E90" s="50"/>
      <c r="F90" s="50"/>
      <c r="G90" s="50" t="s">
        <v>150</v>
      </c>
      <c r="H90" s="51">
        <v>0</v>
      </c>
      <c r="I90" s="51">
        <v>0</v>
      </c>
      <c r="J90" s="51">
        <v>0</v>
      </c>
      <c r="K90" s="51">
        <v>0</v>
      </c>
      <c r="L90" s="51">
        <v>0</v>
      </c>
      <c r="M90" s="51">
        <v>0</v>
      </c>
      <c r="N90" s="51">
        <v>9900</v>
      </c>
      <c r="O90" s="51">
        <v>0</v>
      </c>
      <c r="P90" s="51">
        <v>0</v>
      </c>
      <c r="Q90" s="51">
        <v>1100</v>
      </c>
      <c r="R90" s="51">
        <v>0</v>
      </c>
      <c r="S90" s="51">
        <v>0</v>
      </c>
      <c r="T90" s="51">
        <f t="shared" si="17"/>
        <v>11000</v>
      </c>
    </row>
    <row r="91" spans="1:20" x14ac:dyDescent="0.3">
      <c r="A91" s="50"/>
      <c r="B91" s="50"/>
      <c r="C91" s="50"/>
      <c r="D91" s="50"/>
      <c r="E91" s="50"/>
      <c r="F91" s="50"/>
      <c r="G91" s="50" t="s">
        <v>151</v>
      </c>
      <c r="H91" s="51">
        <v>972.9</v>
      </c>
      <c r="I91" s="51">
        <v>742.5</v>
      </c>
      <c r="J91" s="51">
        <v>440</v>
      </c>
      <c r="K91" s="51">
        <v>770</v>
      </c>
      <c r="L91" s="51">
        <v>1017.5</v>
      </c>
      <c r="M91" s="51">
        <v>1540</v>
      </c>
      <c r="N91" s="51">
        <v>0</v>
      </c>
      <c r="O91" s="51">
        <v>1045</v>
      </c>
      <c r="P91" s="51">
        <v>247.5</v>
      </c>
      <c r="Q91" s="51">
        <v>805</v>
      </c>
      <c r="R91" s="51">
        <v>488.75</v>
      </c>
      <c r="S91" s="51">
        <v>690</v>
      </c>
      <c r="T91" s="51">
        <f t="shared" si="17"/>
        <v>8759.15</v>
      </c>
    </row>
    <row r="92" spans="1:20" x14ac:dyDescent="0.3">
      <c r="A92" s="50"/>
      <c r="B92" s="50"/>
      <c r="C92" s="50"/>
      <c r="D92" s="50"/>
      <c r="E92" s="50"/>
      <c r="F92" s="50"/>
      <c r="G92" s="50" t="s">
        <v>233</v>
      </c>
      <c r="H92" s="51">
        <v>0</v>
      </c>
      <c r="I92" s="51">
        <v>0</v>
      </c>
      <c r="J92" s="51">
        <v>0</v>
      </c>
      <c r="K92" s="51">
        <v>0</v>
      </c>
      <c r="L92" s="51">
        <v>0</v>
      </c>
      <c r="M92" s="51">
        <v>0</v>
      </c>
      <c r="N92" s="51">
        <v>0</v>
      </c>
      <c r="O92" s="51">
        <v>375</v>
      </c>
      <c r="P92" s="51">
        <v>0</v>
      </c>
      <c r="Q92" s="51">
        <v>0</v>
      </c>
      <c r="R92" s="51">
        <v>0</v>
      </c>
      <c r="S92" s="51">
        <v>0</v>
      </c>
      <c r="T92" s="51">
        <f t="shared" si="17"/>
        <v>375</v>
      </c>
    </row>
    <row r="93" spans="1:20" x14ac:dyDescent="0.3">
      <c r="A93" s="50"/>
      <c r="B93" s="50"/>
      <c r="C93" s="50"/>
      <c r="D93" s="50"/>
      <c r="E93" s="50"/>
      <c r="F93" s="50"/>
      <c r="G93" s="50" t="s">
        <v>152</v>
      </c>
      <c r="H93" s="51">
        <v>435</v>
      </c>
      <c r="I93" s="51">
        <v>1910</v>
      </c>
      <c r="J93" s="51">
        <v>1350</v>
      </c>
      <c r="K93" s="51">
        <v>435</v>
      </c>
      <c r="L93" s="51">
        <v>0</v>
      </c>
      <c r="M93" s="51">
        <v>1275</v>
      </c>
      <c r="N93" s="51">
        <v>315</v>
      </c>
      <c r="O93" s="51">
        <v>420</v>
      </c>
      <c r="P93" s="51">
        <v>300</v>
      </c>
      <c r="Q93" s="51">
        <v>360</v>
      </c>
      <c r="R93" s="51">
        <v>435</v>
      </c>
      <c r="S93" s="51">
        <v>0</v>
      </c>
      <c r="T93" s="51">
        <f t="shared" si="17"/>
        <v>7235</v>
      </c>
    </row>
    <row r="94" spans="1:20" x14ac:dyDescent="0.3">
      <c r="A94" s="50"/>
      <c r="B94" s="50"/>
      <c r="C94" s="50"/>
      <c r="D94" s="50"/>
      <c r="E94" s="50"/>
      <c r="F94" s="50"/>
      <c r="G94" s="50" t="s">
        <v>153</v>
      </c>
      <c r="H94" s="51">
        <v>445.33</v>
      </c>
      <c r="I94" s="51">
        <v>445.33</v>
      </c>
      <c r="J94" s="51">
        <v>445.33</v>
      </c>
      <c r="K94" s="51">
        <v>445.33</v>
      </c>
      <c r="L94" s="51">
        <v>445.33</v>
      </c>
      <c r="M94" s="51">
        <v>445.33</v>
      </c>
      <c r="N94" s="51">
        <v>365.4</v>
      </c>
      <c r="O94" s="51">
        <v>365.4</v>
      </c>
      <c r="P94" s="51">
        <v>365.4</v>
      </c>
      <c r="Q94" s="51">
        <v>365.4</v>
      </c>
      <c r="R94" s="51">
        <v>445.33</v>
      </c>
      <c r="S94" s="51">
        <v>445.33</v>
      </c>
      <c r="T94" s="51">
        <f t="shared" si="17"/>
        <v>5024.24</v>
      </c>
    </row>
    <row r="95" spans="1:20" x14ac:dyDescent="0.3">
      <c r="A95" s="50"/>
      <c r="B95" s="50"/>
      <c r="C95" s="50"/>
      <c r="D95" s="50"/>
      <c r="E95" s="50"/>
      <c r="F95" s="50"/>
      <c r="G95" s="50" t="s">
        <v>154</v>
      </c>
      <c r="H95" s="51">
        <v>0</v>
      </c>
      <c r="I95" s="51">
        <v>0</v>
      </c>
      <c r="J95" s="51">
        <v>0</v>
      </c>
      <c r="K95" s="51">
        <v>0</v>
      </c>
      <c r="L95" s="51">
        <v>0</v>
      </c>
      <c r="M95" s="51">
        <v>0</v>
      </c>
      <c r="N95" s="51">
        <v>0</v>
      </c>
      <c r="O95" s="51">
        <v>0</v>
      </c>
      <c r="P95" s="51">
        <v>266</v>
      </c>
      <c r="Q95" s="51">
        <v>0</v>
      </c>
      <c r="R95" s="51">
        <v>0</v>
      </c>
      <c r="S95" s="51">
        <v>28</v>
      </c>
      <c r="T95" s="51">
        <f t="shared" si="17"/>
        <v>294</v>
      </c>
    </row>
    <row r="96" spans="1:20" x14ac:dyDescent="0.3">
      <c r="A96" s="50"/>
      <c r="B96" s="50"/>
      <c r="C96" s="50"/>
      <c r="D96" s="50"/>
      <c r="E96" s="50"/>
      <c r="F96" s="50"/>
      <c r="G96" s="50" t="s">
        <v>155</v>
      </c>
      <c r="H96" s="51">
        <v>0</v>
      </c>
      <c r="I96" s="51">
        <v>0</v>
      </c>
      <c r="J96" s="51">
        <v>0</v>
      </c>
      <c r="K96" s="51">
        <v>0</v>
      </c>
      <c r="L96" s="51">
        <v>365</v>
      </c>
      <c r="M96" s="51">
        <v>0</v>
      </c>
      <c r="N96" s="51">
        <v>0</v>
      </c>
      <c r="O96" s="51">
        <v>0</v>
      </c>
      <c r="P96" s="51">
        <v>0</v>
      </c>
      <c r="Q96" s="51">
        <v>219</v>
      </c>
      <c r="R96" s="51">
        <v>0</v>
      </c>
      <c r="S96" s="51">
        <v>0</v>
      </c>
      <c r="T96" s="51">
        <f t="shared" si="17"/>
        <v>584</v>
      </c>
    </row>
    <row r="97" spans="1:20" x14ac:dyDescent="0.3">
      <c r="A97" s="50"/>
      <c r="B97" s="50"/>
      <c r="C97" s="50"/>
      <c r="D97" s="50"/>
      <c r="E97" s="50"/>
      <c r="F97" s="50"/>
      <c r="G97" s="50" t="s">
        <v>156</v>
      </c>
      <c r="H97" s="51">
        <v>0</v>
      </c>
      <c r="I97" s="51">
        <v>0</v>
      </c>
      <c r="J97" s="51">
        <v>15</v>
      </c>
      <c r="K97" s="51">
        <v>13.59</v>
      </c>
      <c r="L97" s="51">
        <v>1982.42</v>
      </c>
      <c r="M97" s="51">
        <v>1019.56</v>
      </c>
      <c r="N97" s="51">
        <v>0</v>
      </c>
      <c r="O97" s="51">
        <v>0</v>
      </c>
      <c r="P97" s="51">
        <v>0</v>
      </c>
      <c r="Q97" s="51">
        <v>700</v>
      </c>
      <c r="R97" s="51">
        <v>0</v>
      </c>
      <c r="S97" s="51">
        <v>0</v>
      </c>
      <c r="T97" s="51">
        <f t="shared" si="17"/>
        <v>3730.57</v>
      </c>
    </row>
    <row r="98" spans="1:20" x14ac:dyDescent="0.3">
      <c r="A98" s="50"/>
      <c r="B98" s="50"/>
      <c r="C98" s="50"/>
      <c r="D98" s="50"/>
      <c r="E98" s="50"/>
      <c r="F98" s="50"/>
      <c r="G98" s="50" t="s">
        <v>157</v>
      </c>
      <c r="H98" s="51">
        <v>0</v>
      </c>
      <c r="I98" s="51">
        <v>120.73</v>
      </c>
      <c r="J98" s="51">
        <v>0</v>
      </c>
      <c r="K98" s="51">
        <v>321.43</v>
      </c>
      <c r="L98" s="51">
        <v>48.7</v>
      </c>
      <c r="M98" s="51">
        <v>56.42</v>
      </c>
      <c r="N98" s="51">
        <v>42.97</v>
      </c>
      <c r="O98" s="51">
        <v>0</v>
      </c>
      <c r="P98" s="51">
        <v>141.88</v>
      </c>
      <c r="Q98" s="51">
        <v>101.79</v>
      </c>
      <c r="R98" s="51">
        <v>0</v>
      </c>
      <c r="S98" s="51">
        <v>317.31</v>
      </c>
      <c r="T98" s="51">
        <f t="shared" si="17"/>
        <v>1151.23</v>
      </c>
    </row>
    <row r="99" spans="1:20" x14ac:dyDescent="0.3">
      <c r="A99" s="50"/>
      <c r="B99" s="50"/>
      <c r="C99" s="50"/>
      <c r="D99" s="50"/>
      <c r="E99" s="50"/>
      <c r="F99" s="50"/>
      <c r="G99" s="50" t="s">
        <v>158</v>
      </c>
      <c r="H99" s="51">
        <v>0</v>
      </c>
      <c r="I99" s="51">
        <v>0</v>
      </c>
      <c r="J99" s="51">
        <v>0</v>
      </c>
      <c r="K99" s="51">
        <v>0</v>
      </c>
      <c r="L99" s="51">
        <v>0</v>
      </c>
      <c r="M99" s="51">
        <v>0</v>
      </c>
      <c r="N99" s="51">
        <v>800</v>
      </c>
      <c r="O99" s="51">
        <v>0</v>
      </c>
      <c r="P99" s="51">
        <v>2292.25</v>
      </c>
      <c r="Q99" s="51">
        <v>0</v>
      </c>
      <c r="R99" s="51">
        <v>0</v>
      </c>
      <c r="S99" s="51">
        <v>0</v>
      </c>
      <c r="T99" s="51">
        <f t="shared" si="17"/>
        <v>3092.25</v>
      </c>
    </row>
    <row r="100" spans="1:20" x14ac:dyDescent="0.3">
      <c r="A100" s="50"/>
      <c r="B100" s="50"/>
      <c r="C100" s="50"/>
      <c r="D100" s="50"/>
      <c r="E100" s="50"/>
      <c r="F100" s="50"/>
      <c r="G100" s="50" t="s">
        <v>159</v>
      </c>
      <c r="H100" s="51">
        <v>0</v>
      </c>
      <c r="I100" s="51">
        <v>0</v>
      </c>
      <c r="J100" s="51">
        <v>0</v>
      </c>
      <c r="K100" s="51">
        <v>0</v>
      </c>
      <c r="L100" s="51">
        <v>0.45</v>
      </c>
      <c r="M100" s="51">
        <v>0</v>
      </c>
      <c r="N100" s="51">
        <v>0</v>
      </c>
      <c r="O100" s="51">
        <v>0</v>
      </c>
      <c r="P100" s="51">
        <v>0</v>
      </c>
      <c r="Q100" s="51">
        <v>0</v>
      </c>
      <c r="R100" s="51">
        <v>0</v>
      </c>
      <c r="S100" s="51">
        <v>0</v>
      </c>
      <c r="T100" s="51">
        <f t="shared" si="17"/>
        <v>0.45</v>
      </c>
    </row>
    <row r="101" spans="1:20" x14ac:dyDescent="0.3">
      <c r="A101" s="50"/>
      <c r="B101" s="50"/>
      <c r="C101" s="50"/>
      <c r="D101" s="50"/>
      <c r="E101" s="50"/>
      <c r="F101" s="50"/>
      <c r="G101" s="50" t="s">
        <v>160</v>
      </c>
      <c r="H101" s="51">
        <v>50</v>
      </c>
      <c r="I101" s="51">
        <v>100</v>
      </c>
      <c r="J101" s="51">
        <v>50</v>
      </c>
      <c r="K101" s="51">
        <v>50</v>
      </c>
      <c r="L101" s="51">
        <v>100</v>
      </c>
      <c r="M101" s="51">
        <v>50</v>
      </c>
      <c r="N101" s="51">
        <v>50</v>
      </c>
      <c r="O101" s="51">
        <v>50</v>
      </c>
      <c r="P101" s="51">
        <v>50</v>
      </c>
      <c r="Q101" s="51">
        <v>0</v>
      </c>
      <c r="R101" s="51">
        <v>50</v>
      </c>
      <c r="S101" s="51">
        <v>50</v>
      </c>
      <c r="T101" s="51">
        <f t="shared" si="17"/>
        <v>650</v>
      </c>
    </row>
    <row r="102" spans="1:20" ht="15" thickBot="1" x14ac:dyDescent="0.35">
      <c r="A102" s="50"/>
      <c r="B102" s="50"/>
      <c r="C102" s="50"/>
      <c r="D102" s="50"/>
      <c r="E102" s="50"/>
      <c r="F102" s="50"/>
      <c r="G102" s="50" t="s">
        <v>161</v>
      </c>
      <c r="H102" s="52">
        <v>91.27</v>
      </c>
      <c r="I102" s="52">
        <v>74.489999999999995</v>
      </c>
      <c r="J102" s="52">
        <v>177.15</v>
      </c>
      <c r="K102" s="52">
        <v>0</v>
      </c>
      <c r="L102" s="52">
        <v>183.75</v>
      </c>
      <c r="M102" s="52">
        <v>35.770000000000003</v>
      </c>
      <c r="N102" s="52">
        <v>103.47</v>
      </c>
      <c r="O102" s="52">
        <v>67.41</v>
      </c>
      <c r="P102" s="52">
        <v>128.22</v>
      </c>
      <c r="Q102" s="52">
        <v>24.99</v>
      </c>
      <c r="R102" s="52">
        <v>83.79</v>
      </c>
      <c r="S102" s="52">
        <v>108.78</v>
      </c>
      <c r="T102" s="52">
        <f t="shared" si="17"/>
        <v>1079.0899999999999</v>
      </c>
    </row>
    <row r="103" spans="1:20" x14ac:dyDescent="0.3">
      <c r="A103" s="50"/>
      <c r="B103" s="50"/>
      <c r="C103" s="50"/>
      <c r="D103" s="50"/>
      <c r="E103" s="50"/>
      <c r="F103" s="50" t="s">
        <v>162</v>
      </c>
      <c r="G103" s="50"/>
      <c r="H103" s="51">
        <f t="shared" ref="H103:S103" si="18">ROUND(SUM(H73:H102),5)</f>
        <v>7630.54</v>
      </c>
      <c r="I103" s="51">
        <f t="shared" si="18"/>
        <v>5872.19</v>
      </c>
      <c r="J103" s="51">
        <f t="shared" si="18"/>
        <v>7657.64</v>
      </c>
      <c r="K103" s="51">
        <f t="shared" si="18"/>
        <v>4493.18</v>
      </c>
      <c r="L103" s="51">
        <f t="shared" si="18"/>
        <v>7622.56</v>
      </c>
      <c r="M103" s="51">
        <f t="shared" si="18"/>
        <v>8331.69</v>
      </c>
      <c r="N103" s="51">
        <f t="shared" si="18"/>
        <v>17856.61</v>
      </c>
      <c r="O103" s="51">
        <f t="shared" si="18"/>
        <v>7525.12</v>
      </c>
      <c r="P103" s="51">
        <f t="shared" si="18"/>
        <v>7691.51</v>
      </c>
      <c r="Q103" s="51">
        <f t="shared" si="18"/>
        <v>7263.43</v>
      </c>
      <c r="R103" s="51">
        <f t="shared" si="18"/>
        <v>4806.33</v>
      </c>
      <c r="S103" s="51">
        <f t="shared" si="18"/>
        <v>5613.65</v>
      </c>
      <c r="T103" s="51">
        <f t="shared" si="17"/>
        <v>92364.45</v>
      </c>
    </row>
    <row r="104" spans="1:20" x14ac:dyDescent="0.3">
      <c r="A104" s="50"/>
      <c r="B104" s="50"/>
      <c r="C104" s="50"/>
      <c r="D104" s="50"/>
      <c r="E104" s="50"/>
      <c r="F104" s="50" t="s">
        <v>163</v>
      </c>
      <c r="G104" s="50"/>
      <c r="H104" s="51"/>
      <c r="I104" s="51"/>
      <c r="J104" s="51"/>
      <c r="K104" s="51"/>
      <c r="L104" s="51"/>
      <c r="M104" s="51"/>
      <c r="N104" s="51"/>
      <c r="O104" s="51"/>
      <c r="P104" s="51"/>
      <c r="Q104" s="51"/>
      <c r="R104" s="51"/>
      <c r="S104" s="51"/>
      <c r="T104" s="51"/>
    </row>
    <row r="105" spans="1:20" x14ac:dyDescent="0.3">
      <c r="A105" s="50"/>
      <c r="B105" s="50"/>
      <c r="C105" s="50"/>
      <c r="D105" s="50"/>
      <c r="E105" s="50"/>
      <c r="F105" s="50"/>
      <c r="G105" s="50" t="s">
        <v>164</v>
      </c>
      <c r="H105" s="51">
        <v>0</v>
      </c>
      <c r="I105" s="51">
        <v>295</v>
      </c>
      <c r="J105" s="51">
        <v>190</v>
      </c>
      <c r="K105" s="51">
        <v>1792.61</v>
      </c>
      <c r="L105" s="51">
        <v>0</v>
      </c>
      <c r="M105" s="51">
        <v>0</v>
      </c>
      <c r="N105" s="51">
        <v>387.88</v>
      </c>
      <c r="O105" s="51">
        <v>2523.37</v>
      </c>
      <c r="P105" s="51">
        <v>2521.58</v>
      </c>
      <c r="Q105" s="51">
        <v>2451.31</v>
      </c>
      <c r="R105" s="51">
        <v>0</v>
      </c>
      <c r="S105" s="51">
        <v>223.58</v>
      </c>
      <c r="T105" s="51">
        <f t="shared" ref="T105:T116" si="19">ROUND(SUM(H105:S105),5)</f>
        <v>10385.33</v>
      </c>
    </row>
    <row r="106" spans="1:20" x14ac:dyDescent="0.3">
      <c r="A106" s="50"/>
      <c r="B106" s="50"/>
      <c r="C106" s="50"/>
      <c r="D106" s="50"/>
      <c r="E106" s="50"/>
      <c r="F106" s="50"/>
      <c r="G106" s="50" t="s">
        <v>165</v>
      </c>
      <c r="H106" s="51">
        <v>1525</v>
      </c>
      <c r="I106" s="51">
        <v>0</v>
      </c>
      <c r="J106" s="51">
        <v>0</v>
      </c>
      <c r="K106" s="51">
        <v>0</v>
      </c>
      <c r="L106" s="51">
        <v>0</v>
      </c>
      <c r="M106" s="51">
        <v>0</v>
      </c>
      <c r="N106" s="51">
        <v>0</v>
      </c>
      <c r="O106" s="51">
        <v>0</v>
      </c>
      <c r="P106" s="51">
        <v>0</v>
      </c>
      <c r="Q106" s="51">
        <v>0</v>
      </c>
      <c r="R106" s="51">
        <v>0</v>
      </c>
      <c r="S106" s="51">
        <v>0</v>
      </c>
      <c r="T106" s="51">
        <f t="shared" si="19"/>
        <v>1525</v>
      </c>
    </row>
    <row r="107" spans="1:20" x14ac:dyDescent="0.3">
      <c r="A107" s="50"/>
      <c r="B107" s="50"/>
      <c r="C107" s="50"/>
      <c r="D107" s="50"/>
      <c r="E107" s="50"/>
      <c r="F107" s="50"/>
      <c r="G107" s="50" t="s">
        <v>166</v>
      </c>
      <c r="H107" s="51">
        <v>994.13</v>
      </c>
      <c r="I107" s="51">
        <v>2228</v>
      </c>
      <c r="J107" s="51">
        <v>490</v>
      </c>
      <c r="K107" s="51">
        <v>2668.6</v>
      </c>
      <c r="L107" s="51">
        <v>61</v>
      </c>
      <c r="M107" s="51">
        <v>490</v>
      </c>
      <c r="N107" s="51">
        <v>2228</v>
      </c>
      <c r="O107" s="51">
        <v>2690</v>
      </c>
      <c r="P107" s="51">
        <v>490</v>
      </c>
      <c r="Q107" s="51">
        <v>490</v>
      </c>
      <c r="R107" s="51">
        <v>2228</v>
      </c>
      <c r="S107" s="51">
        <v>539.59</v>
      </c>
      <c r="T107" s="51">
        <f t="shared" si="19"/>
        <v>15597.32</v>
      </c>
    </row>
    <row r="108" spans="1:20" x14ac:dyDescent="0.3">
      <c r="A108" s="50"/>
      <c r="B108" s="50"/>
      <c r="C108" s="50"/>
      <c r="D108" s="50"/>
      <c r="E108" s="50"/>
      <c r="F108" s="50"/>
      <c r="G108" s="50" t="s">
        <v>167</v>
      </c>
      <c r="H108" s="51">
        <v>450</v>
      </c>
      <c r="I108" s="51">
        <v>496</v>
      </c>
      <c r="J108" s="51">
        <v>450</v>
      </c>
      <c r="K108" s="51">
        <v>900</v>
      </c>
      <c r="L108" s="51">
        <v>46</v>
      </c>
      <c r="M108" s="51">
        <v>450</v>
      </c>
      <c r="N108" s="51">
        <v>496</v>
      </c>
      <c r="O108" s="51">
        <v>691</v>
      </c>
      <c r="P108" s="51">
        <v>450</v>
      </c>
      <c r="Q108" s="51">
        <v>546</v>
      </c>
      <c r="R108" s="51">
        <v>500</v>
      </c>
      <c r="S108" s="51">
        <v>546</v>
      </c>
      <c r="T108" s="51">
        <f t="shared" si="19"/>
        <v>6021</v>
      </c>
    </row>
    <row r="109" spans="1:20" x14ac:dyDescent="0.3">
      <c r="A109" s="50"/>
      <c r="B109" s="50"/>
      <c r="C109" s="50"/>
      <c r="D109" s="50"/>
      <c r="E109" s="50"/>
      <c r="F109" s="50"/>
      <c r="G109" s="50" t="s">
        <v>168</v>
      </c>
      <c r="H109" s="51">
        <v>0</v>
      </c>
      <c r="I109" s="51">
        <v>0</v>
      </c>
      <c r="J109" s="51">
        <v>800</v>
      </c>
      <c r="K109" s="51">
        <v>0</v>
      </c>
      <c r="L109" s="51">
        <v>1400</v>
      </c>
      <c r="M109" s="51">
        <v>0</v>
      </c>
      <c r="N109" s="51">
        <v>0</v>
      </c>
      <c r="O109" s="51">
        <v>400</v>
      </c>
      <c r="P109" s="51">
        <v>0</v>
      </c>
      <c r="Q109" s="51">
        <v>0</v>
      </c>
      <c r="R109" s="51">
        <v>0</v>
      </c>
      <c r="S109" s="51">
        <v>0</v>
      </c>
      <c r="T109" s="51">
        <f t="shared" si="19"/>
        <v>2600</v>
      </c>
    </row>
    <row r="110" spans="1:20" x14ac:dyDescent="0.3">
      <c r="A110" s="50"/>
      <c r="B110" s="50"/>
      <c r="C110" s="50"/>
      <c r="D110" s="50"/>
      <c r="E110" s="50"/>
      <c r="F110" s="50"/>
      <c r="G110" s="50" t="s">
        <v>169</v>
      </c>
      <c r="H110" s="51">
        <v>0</v>
      </c>
      <c r="I110" s="51">
        <v>125</v>
      </c>
      <c r="J110" s="51">
        <v>465</v>
      </c>
      <c r="K110" s="51">
        <v>0</v>
      </c>
      <c r="L110" s="51">
        <v>0</v>
      </c>
      <c r="M110" s="51">
        <v>155</v>
      </c>
      <c r="N110" s="51">
        <v>172</v>
      </c>
      <c r="O110" s="51">
        <v>0</v>
      </c>
      <c r="P110" s="51">
        <v>930</v>
      </c>
      <c r="Q110" s="51">
        <v>0</v>
      </c>
      <c r="R110" s="51">
        <v>0</v>
      </c>
      <c r="S110" s="51">
        <v>305</v>
      </c>
      <c r="T110" s="51">
        <f t="shared" si="19"/>
        <v>2152</v>
      </c>
    </row>
    <row r="111" spans="1:20" x14ac:dyDescent="0.3">
      <c r="A111" s="50"/>
      <c r="B111" s="50"/>
      <c r="C111" s="50"/>
      <c r="D111" s="50"/>
      <c r="E111" s="50"/>
      <c r="F111" s="50"/>
      <c r="G111" s="50" t="s">
        <v>171</v>
      </c>
      <c r="H111" s="51">
        <v>305.61</v>
      </c>
      <c r="I111" s="51">
        <v>0</v>
      </c>
      <c r="J111" s="51">
        <v>758.23</v>
      </c>
      <c r="K111" s="51">
        <v>333.11</v>
      </c>
      <c r="L111" s="51">
        <v>0</v>
      </c>
      <c r="M111" s="51">
        <v>666.22</v>
      </c>
      <c r="N111" s="51">
        <v>71.599999999999994</v>
      </c>
      <c r="O111" s="51">
        <v>666.22</v>
      </c>
      <c r="P111" s="51">
        <v>8306.75</v>
      </c>
      <c r="Q111" s="51">
        <v>149.18</v>
      </c>
      <c r="R111" s="51">
        <v>7675.8</v>
      </c>
      <c r="S111" s="51">
        <v>327.41000000000003</v>
      </c>
      <c r="T111" s="51">
        <f t="shared" si="19"/>
        <v>19260.13</v>
      </c>
    </row>
    <row r="112" spans="1:20" x14ac:dyDescent="0.3">
      <c r="A112" s="50"/>
      <c r="B112" s="50"/>
      <c r="C112" s="50"/>
      <c r="D112" s="50"/>
      <c r="E112" s="50"/>
      <c r="F112" s="50"/>
      <c r="G112" s="50" t="s">
        <v>172</v>
      </c>
      <c r="H112" s="51">
        <v>163.34</v>
      </c>
      <c r="I112" s="51">
        <v>384.91</v>
      </c>
      <c r="J112" s="51">
        <v>185.81</v>
      </c>
      <c r="K112" s="51">
        <v>187.95</v>
      </c>
      <c r="L112" s="51">
        <v>185.81</v>
      </c>
      <c r="M112" s="51">
        <v>187.35</v>
      </c>
      <c r="N112" s="51">
        <v>471.19</v>
      </c>
      <c r="O112" s="51">
        <v>36.840000000000003</v>
      </c>
      <c r="P112" s="51">
        <v>228.9</v>
      </c>
      <c r="Q112" s="51">
        <v>0</v>
      </c>
      <c r="R112" s="51">
        <v>385.67</v>
      </c>
      <c r="S112" s="51">
        <v>484.47</v>
      </c>
      <c r="T112" s="51">
        <f t="shared" si="19"/>
        <v>2902.24</v>
      </c>
    </row>
    <row r="113" spans="1:20" x14ac:dyDescent="0.3">
      <c r="A113" s="50"/>
      <c r="B113" s="50"/>
      <c r="C113" s="50"/>
      <c r="D113" s="50"/>
      <c r="E113" s="50"/>
      <c r="F113" s="50"/>
      <c r="G113" s="50" t="s">
        <v>173</v>
      </c>
      <c r="H113" s="51">
        <v>1086.21</v>
      </c>
      <c r="I113" s="51">
        <v>684.66</v>
      </c>
      <c r="J113" s="51">
        <v>938.47</v>
      </c>
      <c r="K113" s="51">
        <v>199.95</v>
      </c>
      <c r="L113" s="51">
        <v>764.87</v>
      </c>
      <c r="M113" s="51">
        <v>199.95</v>
      </c>
      <c r="N113" s="51">
        <v>1384.11</v>
      </c>
      <c r="O113" s="51">
        <v>471.42</v>
      </c>
      <c r="P113" s="51">
        <v>1236.1400000000001</v>
      </c>
      <c r="Q113" s="51">
        <v>1269.6099999999999</v>
      </c>
      <c r="R113" s="51">
        <v>258.58</v>
      </c>
      <c r="S113" s="51">
        <v>2321.1999999999998</v>
      </c>
      <c r="T113" s="51">
        <f t="shared" si="19"/>
        <v>10815.17</v>
      </c>
    </row>
    <row r="114" spans="1:20" ht="15" thickBot="1" x14ac:dyDescent="0.35">
      <c r="A114" s="50"/>
      <c r="B114" s="50"/>
      <c r="C114" s="50"/>
      <c r="D114" s="50"/>
      <c r="E114" s="50"/>
      <c r="F114" s="50"/>
      <c r="G114" s="50" t="s">
        <v>174</v>
      </c>
      <c r="H114" s="51">
        <v>0</v>
      </c>
      <c r="I114" s="51">
        <v>0</v>
      </c>
      <c r="J114" s="51">
        <v>11382.67</v>
      </c>
      <c r="K114" s="51">
        <v>2011.87</v>
      </c>
      <c r="L114" s="51">
        <v>0</v>
      </c>
      <c r="M114" s="51">
        <v>299.66000000000003</v>
      </c>
      <c r="N114" s="51">
        <v>1323.9</v>
      </c>
      <c r="O114" s="51">
        <v>45.99</v>
      </c>
      <c r="P114" s="51">
        <v>442.46</v>
      </c>
      <c r="Q114" s="51">
        <v>0</v>
      </c>
      <c r="R114" s="51">
        <v>342.55</v>
      </c>
      <c r="S114" s="51">
        <v>0</v>
      </c>
      <c r="T114" s="51">
        <f t="shared" si="19"/>
        <v>15849.1</v>
      </c>
    </row>
    <row r="115" spans="1:20" ht="15" thickBot="1" x14ac:dyDescent="0.35">
      <c r="A115" s="50"/>
      <c r="B115" s="50"/>
      <c r="C115" s="50"/>
      <c r="D115" s="50"/>
      <c r="E115" s="50"/>
      <c r="F115" s="50" t="s">
        <v>175</v>
      </c>
      <c r="G115" s="50"/>
      <c r="H115" s="53">
        <f t="shared" ref="H115:S115" si="20">ROUND(SUM(H104:H114),5)</f>
        <v>4524.29</v>
      </c>
      <c r="I115" s="53">
        <f t="shared" si="20"/>
        <v>4213.57</v>
      </c>
      <c r="J115" s="53">
        <f t="shared" si="20"/>
        <v>15660.18</v>
      </c>
      <c r="K115" s="53">
        <f t="shared" si="20"/>
        <v>8094.09</v>
      </c>
      <c r="L115" s="53">
        <f t="shared" si="20"/>
        <v>2457.6799999999998</v>
      </c>
      <c r="M115" s="53">
        <f t="shared" si="20"/>
        <v>2448.1799999999998</v>
      </c>
      <c r="N115" s="53">
        <f t="shared" si="20"/>
        <v>6534.68</v>
      </c>
      <c r="O115" s="53">
        <f t="shared" si="20"/>
        <v>7524.84</v>
      </c>
      <c r="P115" s="53">
        <f t="shared" si="20"/>
        <v>14605.83</v>
      </c>
      <c r="Q115" s="53">
        <f t="shared" si="20"/>
        <v>4906.1000000000004</v>
      </c>
      <c r="R115" s="53">
        <f t="shared" si="20"/>
        <v>11390.6</v>
      </c>
      <c r="S115" s="53">
        <f t="shared" si="20"/>
        <v>4747.25</v>
      </c>
      <c r="T115" s="53">
        <f t="shared" si="19"/>
        <v>87107.29</v>
      </c>
    </row>
    <row r="116" spans="1:20" x14ac:dyDescent="0.3">
      <c r="A116" s="50"/>
      <c r="B116" s="50"/>
      <c r="C116" s="50"/>
      <c r="D116" s="50"/>
      <c r="E116" s="50" t="s">
        <v>176</v>
      </c>
      <c r="F116" s="50"/>
      <c r="G116" s="50"/>
      <c r="H116" s="51">
        <f t="shared" ref="H116:S116" si="21">ROUND(H68+H72+H103+H115,5)</f>
        <v>12812.06</v>
      </c>
      <c r="I116" s="51">
        <f t="shared" si="21"/>
        <v>10871.28</v>
      </c>
      <c r="J116" s="51">
        <f t="shared" si="21"/>
        <v>24780.2</v>
      </c>
      <c r="K116" s="51">
        <f t="shared" si="21"/>
        <v>12924.06</v>
      </c>
      <c r="L116" s="51">
        <f t="shared" si="21"/>
        <v>11036.94</v>
      </c>
      <c r="M116" s="51">
        <f t="shared" si="21"/>
        <v>11741.11</v>
      </c>
      <c r="N116" s="51">
        <f t="shared" si="21"/>
        <v>25380.53</v>
      </c>
      <c r="O116" s="51">
        <f t="shared" si="21"/>
        <v>15968.64</v>
      </c>
      <c r="P116" s="51">
        <f t="shared" si="21"/>
        <v>23086.62</v>
      </c>
      <c r="Q116" s="51">
        <f t="shared" si="21"/>
        <v>12862.43</v>
      </c>
      <c r="R116" s="51">
        <f t="shared" si="21"/>
        <v>16906.099999999999</v>
      </c>
      <c r="S116" s="51">
        <f t="shared" si="21"/>
        <v>11140.94</v>
      </c>
      <c r="T116" s="51">
        <f t="shared" si="19"/>
        <v>189510.91</v>
      </c>
    </row>
    <row r="117" spans="1:20" x14ac:dyDescent="0.3">
      <c r="A117" s="50"/>
      <c r="B117" s="50"/>
      <c r="C117" s="50"/>
      <c r="D117" s="50"/>
      <c r="E117" s="50" t="s">
        <v>177</v>
      </c>
      <c r="F117" s="50"/>
      <c r="G117" s="50"/>
      <c r="H117" s="51"/>
      <c r="I117" s="51"/>
      <c r="J117" s="51"/>
      <c r="K117" s="51"/>
      <c r="L117" s="51"/>
      <c r="M117" s="51"/>
      <c r="N117" s="51"/>
      <c r="O117" s="51"/>
      <c r="P117" s="51"/>
      <c r="Q117" s="51"/>
      <c r="R117" s="51"/>
      <c r="S117" s="51"/>
      <c r="T117" s="51"/>
    </row>
    <row r="118" spans="1:20" x14ac:dyDescent="0.3">
      <c r="A118" s="50"/>
      <c r="B118" s="50"/>
      <c r="C118" s="50"/>
      <c r="D118" s="50"/>
      <c r="E118" s="50"/>
      <c r="F118" s="50" t="s">
        <v>178</v>
      </c>
      <c r="G118" s="50"/>
      <c r="H118" s="51"/>
      <c r="I118" s="51"/>
      <c r="J118" s="51"/>
      <c r="K118" s="51"/>
      <c r="L118" s="51"/>
      <c r="M118" s="51"/>
      <c r="N118" s="51"/>
      <c r="O118" s="51"/>
      <c r="P118" s="51"/>
      <c r="Q118" s="51"/>
      <c r="R118" s="51"/>
      <c r="S118" s="51"/>
      <c r="T118" s="51"/>
    </row>
    <row r="119" spans="1:20" ht="15" thickBot="1" x14ac:dyDescent="0.35">
      <c r="A119" s="50"/>
      <c r="B119" s="50"/>
      <c r="C119" s="50"/>
      <c r="D119" s="50"/>
      <c r="E119" s="50"/>
      <c r="F119" s="50"/>
      <c r="G119" s="50" t="s">
        <v>179</v>
      </c>
      <c r="H119" s="52">
        <v>0</v>
      </c>
      <c r="I119" s="52">
        <v>0</v>
      </c>
      <c r="J119" s="52">
        <v>48942.34</v>
      </c>
      <c r="K119" s="52">
        <v>0</v>
      </c>
      <c r="L119" s="52">
        <v>0</v>
      </c>
      <c r="M119" s="52">
        <v>0</v>
      </c>
      <c r="N119" s="52">
        <v>0</v>
      </c>
      <c r="O119" s="52">
        <v>0</v>
      </c>
      <c r="P119" s="52">
        <v>0</v>
      </c>
      <c r="Q119" s="52">
        <v>0</v>
      </c>
      <c r="R119" s="52">
        <v>0</v>
      </c>
      <c r="S119" s="52">
        <v>0</v>
      </c>
      <c r="T119" s="52">
        <f>ROUND(SUM(H119:S119),5)</f>
        <v>48942.34</v>
      </c>
    </row>
    <row r="120" spans="1:20" x14ac:dyDescent="0.3">
      <c r="A120" s="50"/>
      <c r="B120" s="50"/>
      <c r="C120" s="50"/>
      <c r="D120" s="50"/>
      <c r="E120" s="50"/>
      <c r="F120" s="50" t="s">
        <v>180</v>
      </c>
      <c r="G120" s="50"/>
      <c r="H120" s="51">
        <f t="shared" ref="H120:S120" si="22">ROUND(SUM(H118:H119),5)</f>
        <v>0</v>
      </c>
      <c r="I120" s="51">
        <f t="shared" si="22"/>
        <v>0</v>
      </c>
      <c r="J120" s="51">
        <f t="shared" si="22"/>
        <v>48942.34</v>
      </c>
      <c r="K120" s="51">
        <f t="shared" si="22"/>
        <v>0</v>
      </c>
      <c r="L120" s="51">
        <f t="shared" si="22"/>
        <v>0</v>
      </c>
      <c r="M120" s="51">
        <f t="shared" si="22"/>
        <v>0</v>
      </c>
      <c r="N120" s="51">
        <f t="shared" si="22"/>
        <v>0</v>
      </c>
      <c r="O120" s="51">
        <f t="shared" si="22"/>
        <v>0</v>
      </c>
      <c r="P120" s="51">
        <f t="shared" si="22"/>
        <v>0</v>
      </c>
      <c r="Q120" s="51">
        <f t="shared" si="22"/>
        <v>0</v>
      </c>
      <c r="R120" s="51">
        <f t="shared" si="22"/>
        <v>0</v>
      </c>
      <c r="S120" s="51">
        <f t="shared" si="22"/>
        <v>0</v>
      </c>
      <c r="T120" s="51">
        <f>ROUND(SUM(H120:S120),5)</f>
        <v>48942.34</v>
      </c>
    </row>
    <row r="121" spans="1:20" ht="15" thickBot="1" x14ac:dyDescent="0.35">
      <c r="A121" s="50"/>
      <c r="B121" s="50"/>
      <c r="C121" s="50"/>
      <c r="D121" s="50"/>
      <c r="E121" s="50"/>
      <c r="F121" s="50" t="s">
        <v>181</v>
      </c>
      <c r="G121" s="50"/>
      <c r="H121" s="52">
        <v>370.04</v>
      </c>
      <c r="I121" s="52">
        <v>197.78</v>
      </c>
      <c r="J121" s="52">
        <v>6027.61</v>
      </c>
      <c r="K121" s="52">
        <v>342.65</v>
      </c>
      <c r="L121" s="52">
        <v>153.12</v>
      </c>
      <c r="M121" s="52">
        <v>0</v>
      </c>
      <c r="N121" s="52">
        <v>299.86</v>
      </c>
      <c r="O121" s="52">
        <v>306.24</v>
      </c>
      <c r="P121" s="52">
        <v>542.07000000000005</v>
      </c>
      <c r="Q121" s="52">
        <v>-96.88</v>
      </c>
      <c r="R121" s="52">
        <v>0</v>
      </c>
      <c r="S121" s="52">
        <v>243.32</v>
      </c>
      <c r="T121" s="52">
        <f>ROUND(SUM(H121:S121),5)</f>
        <v>8385.81</v>
      </c>
    </row>
    <row r="122" spans="1:20" x14ac:dyDescent="0.3">
      <c r="A122" s="50"/>
      <c r="B122" s="50"/>
      <c r="C122" s="50"/>
      <c r="D122" s="50"/>
      <c r="E122" s="50" t="s">
        <v>182</v>
      </c>
      <c r="F122" s="50"/>
      <c r="G122" s="50"/>
      <c r="H122" s="51">
        <f t="shared" ref="H122:S122" si="23">ROUND(H117+SUM(H120:H121),5)</f>
        <v>370.04</v>
      </c>
      <c r="I122" s="51">
        <f t="shared" si="23"/>
        <v>197.78</v>
      </c>
      <c r="J122" s="51">
        <f t="shared" si="23"/>
        <v>54969.95</v>
      </c>
      <c r="K122" s="51">
        <f t="shared" si="23"/>
        <v>342.65</v>
      </c>
      <c r="L122" s="51">
        <f t="shared" si="23"/>
        <v>153.12</v>
      </c>
      <c r="M122" s="51">
        <f t="shared" si="23"/>
        <v>0</v>
      </c>
      <c r="N122" s="51">
        <f t="shared" si="23"/>
        <v>299.86</v>
      </c>
      <c r="O122" s="51">
        <f t="shared" si="23"/>
        <v>306.24</v>
      </c>
      <c r="P122" s="51">
        <f t="shared" si="23"/>
        <v>542.07000000000005</v>
      </c>
      <c r="Q122" s="51">
        <f t="shared" si="23"/>
        <v>-96.88</v>
      </c>
      <c r="R122" s="51">
        <f t="shared" si="23"/>
        <v>0</v>
      </c>
      <c r="S122" s="51">
        <f t="shared" si="23"/>
        <v>243.32</v>
      </c>
      <c r="T122" s="51">
        <f>ROUND(SUM(H122:S122),5)</f>
        <v>57328.15</v>
      </c>
    </row>
    <row r="123" spans="1:20" x14ac:dyDescent="0.3">
      <c r="A123" s="50"/>
      <c r="B123" s="50"/>
      <c r="C123" s="50"/>
      <c r="D123" s="50"/>
      <c r="E123" s="50" t="s">
        <v>183</v>
      </c>
      <c r="F123" s="50"/>
      <c r="G123" s="50"/>
      <c r="H123" s="51"/>
      <c r="I123" s="51"/>
      <c r="J123" s="51"/>
      <c r="K123" s="51"/>
      <c r="L123" s="51"/>
      <c r="M123" s="51"/>
      <c r="N123" s="51"/>
      <c r="O123" s="51"/>
      <c r="P123" s="51"/>
      <c r="Q123" s="51"/>
      <c r="R123" s="51"/>
      <c r="S123" s="51"/>
      <c r="T123" s="51"/>
    </row>
    <row r="124" spans="1:20" x14ac:dyDescent="0.3">
      <c r="A124" s="50"/>
      <c r="B124" s="50"/>
      <c r="C124" s="50"/>
      <c r="D124" s="50"/>
      <c r="E124" s="50"/>
      <c r="F124" s="50" t="s">
        <v>184</v>
      </c>
      <c r="G124" s="50"/>
      <c r="H124" s="51"/>
      <c r="I124" s="51"/>
      <c r="J124" s="51"/>
      <c r="K124" s="51"/>
      <c r="L124" s="51"/>
      <c r="M124" s="51"/>
      <c r="N124" s="51"/>
      <c r="O124" s="51"/>
      <c r="P124" s="51"/>
      <c r="Q124" s="51"/>
      <c r="R124" s="51"/>
      <c r="S124" s="51"/>
      <c r="T124" s="51"/>
    </row>
    <row r="125" spans="1:20" ht="15" thickBot="1" x14ac:dyDescent="0.35">
      <c r="A125" s="50"/>
      <c r="B125" s="50"/>
      <c r="C125" s="50"/>
      <c r="D125" s="50"/>
      <c r="E125" s="50"/>
      <c r="F125" s="50"/>
      <c r="G125" s="50" t="s">
        <v>279</v>
      </c>
      <c r="H125" s="52">
        <v>0</v>
      </c>
      <c r="I125" s="52">
        <v>0</v>
      </c>
      <c r="J125" s="52">
        <v>0</v>
      </c>
      <c r="K125" s="52">
        <v>0</v>
      </c>
      <c r="L125" s="52">
        <v>0</v>
      </c>
      <c r="M125" s="52">
        <v>0</v>
      </c>
      <c r="N125" s="52">
        <v>0</v>
      </c>
      <c r="O125" s="52">
        <v>0</v>
      </c>
      <c r="P125" s="52">
        <v>0</v>
      </c>
      <c r="Q125" s="52">
        <v>0</v>
      </c>
      <c r="R125" s="52">
        <v>1900</v>
      </c>
      <c r="S125" s="52">
        <v>0</v>
      </c>
      <c r="T125" s="52">
        <f>ROUND(SUM(H125:S125),5)</f>
        <v>1900</v>
      </c>
    </row>
    <row r="126" spans="1:20" x14ac:dyDescent="0.3">
      <c r="A126" s="50"/>
      <c r="B126" s="50"/>
      <c r="C126" s="50"/>
      <c r="D126" s="50"/>
      <c r="E126" s="50"/>
      <c r="F126" s="50" t="s">
        <v>186</v>
      </c>
      <c r="G126" s="50"/>
      <c r="H126" s="51">
        <f t="shared" ref="H126:S126" si="24">ROUND(SUM(H124:H125),5)</f>
        <v>0</v>
      </c>
      <c r="I126" s="51">
        <f t="shared" si="24"/>
        <v>0</v>
      </c>
      <c r="J126" s="51">
        <f t="shared" si="24"/>
        <v>0</v>
      </c>
      <c r="K126" s="51">
        <f t="shared" si="24"/>
        <v>0</v>
      </c>
      <c r="L126" s="51">
        <f t="shared" si="24"/>
        <v>0</v>
      </c>
      <c r="M126" s="51">
        <f t="shared" si="24"/>
        <v>0</v>
      </c>
      <c r="N126" s="51">
        <f t="shared" si="24"/>
        <v>0</v>
      </c>
      <c r="O126" s="51">
        <f t="shared" si="24"/>
        <v>0</v>
      </c>
      <c r="P126" s="51">
        <f t="shared" si="24"/>
        <v>0</v>
      </c>
      <c r="Q126" s="51">
        <f t="shared" si="24"/>
        <v>0</v>
      </c>
      <c r="R126" s="51">
        <f t="shared" si="24"/>
        <v>1900</v>
      </c>
      <c r="S126" s="51">
        <f t="shared" si="24"/>
        <v>0</v>
      </c>
      <c r="T126" s="51">
        <f>ROUND(SUM(H126:S126),5)</f>
        <v>1900</v>
      </c>
    </row>
    <row r="127" spans="1:20" x14ac:dyDescent="0.3">
      <c r="A127" s="50"/>
      <c r="B127" s="50"/>
      <c r="C127" s="50"/>
      <c r="D127" s="50"/>
      <c r="E127" s="50"/>
      <c r="F127" s="50" t="s">
        <v>187</v>
      </c>
      <c r="G127" s="50"/>
      <c r="H127" s="51"/>
      <c r="I127" s="51"/>
      <c r="J127" s="51"/>
      <c r="K127" s="51"/>
      <c r="L127" s="51"/>
      <c r="M127" s="51"/>
      <c r="N127" s="51"/>
      <c r="O127" s="51"/>
      <c r="P127" s="51"/>
      <c r="Q127" s="51"/>
      <c r="R127" s="51"/>
      <c r="S127" s="51"/>
      <c r="T127" s="51"/>
    </row>
    <row r="128" spans="1:20" ht="15" thickBot="1" x14ac:dyDescent="0.35">
      <c r="A128" s="50"/>
      <c r="B128" s="50"/>
      <c r="C128" s="50"/>
      <c r="D128" s="50"/>
      <c r="E128" s="50"/>
      <c r="F128" s="50"/>
      <c r="G128" s="50" t="s">
        <v>188</v>
      </c>
      <c r="H128" s="52">
        <v>0</v>
      </c>
      <c r="I128" s="52">
        <v>0</v>
      </c>
      <c r="J128" s="52">
        <v>0</v>
      </c>
      <c r="K128" s="52">
        <v>6935</v>
      </c>
      <c r="L128" s="52">
        <v>1357</v>
      </c>
      <c r="M128" s="52">
        <v>0</v>
      </c>
      <c r="N128" s="52">
        <v>0</v>
      </c>
      <c r="O128" s="52">
        <v>0</v>
      </c>
      <c r="P128" s="52">
        <v>0</v>
      </c>
      <c r="Q128" s="52">
        <v>0</v>
      </c>
      <c r="R128" s="52">
        <v>0</v>
      </c>
      <c r="S128" s="52">
        <v>355787.84</v>
      </c>
      <c r="T128" s="52">
        <f>ROUND(SUM(H128:S128),5)</f>
        <v>364079.84</v>
      </c>
    </row>
    <row r="129" spans="1:20" x14ac:dyDescent="0.3">
      <c r="A129" s="50"/>
      <c r="B129" s="50"/>
      <c r="C129" s="50"/>
      <c r="D129" s="50"/>
      <c r="E129" s="50"/>
      <c r="F129" s="50" t="s">
        <v>189</v>
      </c>
      <c r="G129" s="50"/>
      <c r="H129" s="51">
        <f t="shared" ref="H129:S129" si="25">ROUND(SUM(H127:H128),5)</f>
        <v>0</v>
      </c>
      <c r="I129" s="51">
        <f t="shared" si="25"/>
        <v>0</v>
      </c>
      <c r="J129" s="51">
        <f t="shared" si="25"/>
        <v>0</v>
      </c>
      <c r="K129" s="51">
        <f t="shared" si="25"/>
        <v>6935</v>
      </c>
      <c r="L129" s="51">
        <f t="shared" si="25"/>
        <v>1357</v>
      </c>
      <c r="M129" s="51">
        <f t="shared" si="25"/>
        <v>0</v>
      </c>
      <c r="N129" s="51">
        <f t="shared" si="25"/>
        <v>0</v>
      </c>
      <c r="O129" s="51">
        <f t="shared" si="25"/>
        <v>0</v>
      </c>
      <c r="P129" s="51">
        <f t="shared" si="25"/>
        <v>0</v>
      </c>
      <c r="Q129" s="51">
        <f t="shared" si="25"/>
        <v>0</v>
      </c>
      <c r="R129" s="51">
        <f t="shared" si="25"/>
        <v>0</v>
      </c>
      <c r="S129" s="51">
        <f t="shared" si="25"/>
        <v>355787.84</v>
      </c>
      <c r="T129" s="51">
        <f>ROUND(SUM(H129:S129),5)</f>
        <v>364079.84</v>
      </c>
    </row>
    <row r="130" spans="1:20" x14ac:dyDescent="0.3">
      <c r="A130" s="50"/>
      <c r="B130" s="50"/>
      <c r="C130" s="50"/>
      <c r="D130" s="50"/>
      <c r="E130" s="50"/>
      <c r="F130" s="50" t="s">
        <v>190</v>
      </c>
      <c r="G130" s="50"/>
      <c r="H130" s="51"/>
      <c r="I130" s="51"/>
      <c r="J130" s="51"/>
      <c r="K130" s="51"/>
      <c r="L130" s="51"/>
      <c r="M130" s="51"/>
      <c r="N130" s="51"/>
      <c r="O130" s="51"/>
      <c r="P130" s="51"/>
      <c r="Q130" s="51"/>
      <c r="R130" s="51"/>
      <c r="S130" s="51"/>
      <c r="T130" s="51"/>
    </row>
    <row r="131" spans="1:20" ht="15" thickBot="1" x14ac:dyDescent="0.35">
      <c r="A131" s="50"/>
      <c r="B131" s="50"/>
      <c r="C131" s="50"/>
      <c r="D131" s="50"/>
      <c r="E131" s="50"/>
      <c r="F131" s="50"/>
      <c r="G131" s="50" t="s">
        <v>193</v>
      </c>
      <c r="H131" s="51">
        <v>0</v>
      </c>
      <c r="I131" s="51">
        <v>0</v>
      </c>
      <c r="J131" s="51">
        <v>0</v>
      </c>
      <c r="K131" s="51">
        <v>0</v>
      </c>
      <c r="L131" s="51">
        <v>1945</v>
      </c>
      <c r="M131" s="51">
        <v>0</v>
      </c>
      <c r="N131" s="51">
        <v>0</v>
      </c>
      <c r="O131" s="51">
        <v>0</v>
      </c>
      <c r="P131" s="51">
        <v>0</v>
      </c>
      <c r="Q131" s="51">
        <v>0</v>
      </c>
      <c r="R131" s="51">
        <v>0</v>
      </c>
      <c r="S131" s="51">
        <v>0</v>
      </c>
      <c r="T131" s="51">
        <f>ROUND(SUM(H131:S131),5)</f>
        <v>1945</v>
      </c>
    </row>
    <row r="132" spans="1:20" ht="15" thickBot="1" x14ac:dyDescent="0.35">
      <c r="A132" s="50"/>
      <c r="B132" s="50"/>
      <c r="C132" s="50"/>
      <c r="D132" s="50"/>
      <c r="E132" s="50"/>
      <c r="F132" s="50" t="s">
        <v>194</v>
      </c>
      <c r="G132" s="50"/>
      <c r="H132" s="54">
        <f t="shared" ref="H132:S132" si="26">ROUND(SUM(H130:H131),5)</f>
        <v>0</v>
      </c>
      <c r="I132" s="54">
        <f t="shared" si="26"/>
        <v>0</v>
      </c>
      <c r="J132" s="54">
        <f t="shared" si="26"/>
        <v>0</v>
      </c>
      <c r="K132" s="54">
        <f t="shared" si="26"/>
        <v>0</v>
      </c>
      <c r="L132" s="54">
        <f t="shared" si="26"/>
        <v>1945</v>
      </c>
      <c r="M132" s="54">
        <f t="shared" si="26"/>
        <v>0</v>
      </c>
      <c r="N132" s="54">
        <f t="shared" si="26"/>
        <v>0</v>
      </c>
      <c r="O132" s="54">
        <f t="shared" si="26"/>
        <v>0</v>
      </c>
      <c r="P132" s="54">
        <f t="shared" si="26"/>
        <v>0</v>
      </c>
      <c r="Q132" s="54">
        <f t="shared" si="26"/>
        <v>0</v>
      </c>
      <c r="R132" s="54">
        <f t="shared" si="26"/>
        <v>0</v>
      </c>
      <c r="S132" s="54">
        <f t="shared" si="26"/>
        <v>0</v>
      </c>
      <c r="T132" s="54">
        <f>ROUND(SUM(H132:S132),5)</f>
        <v>1945</v>
      </c>
    </row>
    <row r="133" spans="1:20" ht="15" thickBot="1" x14ac:dyDescent="0.35">
      <c r="A133" s="50"/>
      <c r="B133" s="50"/>
      <c r="C133" s="50"/>
      <c r="D133" s="50"/>
      <c r="E133" s="50" t="s">
        <v>195</v>
      </c>
      <c r="F133" s="50"/>
      <c r="G133" s="50"/>
      <c r="H133" s="54">
        <f t="shared" ref="H133:S133" si="27">ROUND(H123+H126+H129+H132,5)</f>
        <v>0</v>
      </c>
      <c r="I133" s="54">
        <f t="shared" si="27"/>
        <v>0</v>
      </c>
      <c r="J133" s="54">
        <f t="shared" si="27"/>
        <v>0</v>
      </c>
      <c r="K133" s="54">
        <f t="shared" si="27"/>
        <v>6935</v>
      </c>
      <c r="L133" s="54">
        <f t="shared" si="27"/>
        <v>3302</v>
      </c>
      <c r="M133" s="54">
        <f t="shared" si="27"/>
        <v>0</v>
      </c>
      <c r="N133" s="54">
        <f t="shared" si="27"/>
        <v>0</v>
      </c>
      <c r="O133" s="54">
        <f t="shared" si="27"/>
        <v>0</v>
      </c>
      <c r="P133" s="54">
        <f t="shared" si="27"/>
        <v>0</v>
      </c>
      <c r="Q133" s="54">
        <f t="shared" si="27"/>
        <v>0</v>
      </c>
      <c r="R133" s="54">
        <f t="shared" si="27"/>
        <v>1900</v>
      </c>
      <c r="S133" s="54">
        <f t="shared" si="27"/>
        <v>355787.84</v>
      </c>
      <c r="T133" s="54">
        <f>ROUND(SUM(H133:S133),5)</f>
        <v>367924.84</v>
      </c>
    </row>
    <row r="134" spans="1:20" ht="15" thickBot="1" x14ac:dyDescent="0.35">
      <c r="A134" s="50"/>
      <c r="B134" s="50"/>
      <c r="C134" s="50"/>
      <c r="D134" s="50" t="s">
        <v>5</v>
      </c>
      <c r="E134" s="50"/>
      <c r="F134" s="50"/>
      <c r="G134" s="50"/>
      <c r="H134" s="53">
        <f t="shared" ref="H134:S134" si="28">ROUND(H39+H67+H116+H122+H133,5)</f>
        <v>55035.48</v>
      </c>
      <c r="I134" s="53">
        <f t="shared" si="28"/>
        <v>35475.449999999997</v>
      </c>
      <c r="J134" s="53">
        <f t="shared" si="28"/>
        <v>120305.86</v>
      </c>
      <c r="K134" s="53">
        <f t="shared" si="28"/>
        <v>40629.21</v>
      </c>
      <c r="L134" s="53">
        <f t="shared" si="28"/>
        <v>42225.39</v>
      </c>
      <c r="M134" s="53">
        <f t="shared" si="28"/>
        <v>35255.99</v>
      </c>
      <c r="N134" s="53">
        <f t="shared" si="28"/>
        <v>58915.23</v>
      </c>
      <c r="O134" s="53">
        <f t="shared" si="28"/>
        <v>40123.08</v>
      </c>
      <c r="P134" s="53">
        <f t="shared" si="28"/>
        <v>55599.54</v>
      </c>
      <c r="Q134" s="53">
        <f t="shared" si="28"/>
        <v>57824.7</v>
      </c>
      <c r="R134" s="53">
        <f t="shared" si="28"/>
        <v>44586.239999999998</v>
      </c>
      <c r="S134" s="53">
        <f t="shared" si="28"/>
        <v>393348.6</v>
      </c>
      <c r="T134" s="53">
        <f>ROUND(SUM(H134:S134),5)</f>
        <v>979324.77</v>
      </c>
    </row>
    <row r="135" spans="1:20" x14ac:dyDescent="0.3">
      <c r="A135" s="50"/>
      <c r="B135" s="50" t="s">
        <v>6</v>
      </c>
      <c r="C135" s="50"/>
      <c r="D135" s="50"/>
      <c r="E135" s="50"/>
      <c r="F135" s="50"/>
      <c r="G135" s="50"/>
      <c r="H135" s="51">
        <f t="shared" ref="H135:S135" si="29">ROUND(H2+H38-H134,5)</f>
        <v>42229.17</v>
      </c>
      <c r="I135" s="51">
        <f t="shared" si="29"/>
        <v>201346.38</v>
      </c>
      <c r="J135" s="51">
        <f t="shared" si="29"/>
        <v>-23492.63</v>
      </c>
      <c r="K135" s="51">
        <f t="shared" si="29"/>
        <v>20645.93</v>
      </c>
      <c r="L135" s="51">
        <f t="shared" si="29"/>
        <v>-21148.35</v>
      </c>
      <c r="M135" s="51">
        <f t="shared" si="29"/>
        <v>51003.360000000001</v>
      </c>
      <c r="N135" s="51">
        <f t="shared" si="29"/>
        <v>26647.89</v>
      </c>
      <c r="O135" s="51">
        <f t="shared" si="29"/>
        <v>-13691.18</v>
      </c>
      <c r="P135" s="51">
        <f t="shared" si="29"/>
        <v>242069.91</v>
      </c>
      <c r="Q135" s="51">
        <f t="shared" si="29"/>
        <v>160957.59</v>
      </c>
      <c r="R135" s="51">
        <f t="shared" si="29"/>
        <v>15115.07</v>
      </c>
      <c r="S135" s="51">
        <f t="shared" si="29"/>
        <v>-318923.76</v>
      </c>
      <c r="T135" s="51">
        <f>ROUND(SUM(H135:S135),5)</f>
        <v>382759.38</v>
      </c>
    </row>
    <row r="136" spans="1:20" x14ac:dyDescent="0.3">
      <c r="A136" s="50"/>
      <c r="B136" s="50" t="s">
        <v>7</v>
      </c>
      <c r="C136" s="50"/>
      <c r="D136" s="50"/>
      <c r="E136" s="50"/>
      <c r="F136" s="50"/>
      <c r="G136" s="50"/>
      <c r="H136" s="51"/>
      <c r="I136" s="51"/>
      <c r="J136" s="51"/>
      <c r="K136" s="51"/>
      <c r="L136" s="51"/>
      <c r="M136" s="51"/>
      <c r="N136" s="51"/>
      <c r="O136" s="51"/>
      <c r="P136" s="51"/>
      <c r="Q136" s="51"/>
      <c r="R136" s="51"/>
      <c r="S136" s="51"/>
      <c r="T136" s="51"/>
    </row>
    <row r="137" spans="1:20" x14ac:dyDescent="0.3">
      <c r="A137" s="50"/>
      <c r="B137" s="50"/>
      <c r="C137" s="50" t="s">
        <v>8</v>
      </c>
      <c r="D137" s="50"/>
      <c r="E137" s="50"/>
      <c r="F137" s="50"/>
      <c r="G137" s="50"/>
      <c r="H137" s="51"/>
      <c r="I137" s="51"/>
      <c r="J137" s="51"/>
      <c r="K137" s="51"/>
      <c r="L137" s="51"/>
      <c r="M137" s="51"/>
      <c r="N137" s="51"/>
      <c r="O137" s="51"/>
      <c r="P137" s="51"/>
      <c r="Q137" s="51"/>
      <c r="R137" s="51"/>
      <c r="S137" s="51"/>
      <c r="T137" s="51"/>
    </row>
    <row r="138" spans="1:20" x14ac:dyDescent="0.3">
      <c r="A138" s="50"/>
      <c r="B138" s="50"/>
      <c r="C138" s="50"/>
      <c r="D138" s="50" t="s">
        <v>196</v>
      </c>
      <c r="E138" s="50"/>
      <c r="F138" s="50"/>
      <c r="G138" s="50"/>
      <c r="H138" s="51">
        <v>0</v>
      </c>
      <c r="I138" s="51">
        <v>0</v>
      </c>
      <c r="J138" s="51">
        <v>0</v>
      </c>
      <c r="K138" s="51">
        <v>488.69</v>
      </c>
      <c r="L138" s="51">
        <v>0</v>
      </c>
      <c r="M138" s="51">
        <v>0</v>
      </c>
      <c r="N138" s="51">
        <v>0</v>
      </c>
      <c r="O138" s="51">
        <v>0</v>
      </c>
      <c r="P138" s="51">
        <v>0</v>
      </c>
      <c r="Q138" s="51">
        <v>1206.2</v>
      </c>
      <c r="R138" s="51">
        <v>0</v>
      </c>
      <c r="S138" s="51">
        <v>0</v>
      </c>
      <c r="T138" s="51">
        <f t="shared" ref="T138:T143" si="30">ROUND(SUM(H138:S138),5)</f>
        <v>1694.89</v>
      </c>
    </row>
    <row r="139" spans="1:20" x14ac:dyDescent="0.3">
      <c r="A139" s="50"/>
      <c r="B139" s="50"/>
      <c r="C139" s="50"/>
      <c r="D139" s="50" t="s">
        <v>197</v>
      </c>
      <c r="E139" s="50"/>
      <c r="F139" s="50"/>
      <c r="G139" s="50"/>
      <c r="H139" s="51">
        <v>-4192.53</v>
      </c>
      <c r="I139" s="51">
        <v>3613.14</v>
      </c>
      <c r="J139" s="51">
        <v>-10762.94</v>
      </c>
      <c r="K139" s="51">
        <v>3838.17</v>
      </c>
      <c r="L139" s="51">
        <v>-7360.71</v>
      </c>
      <c r="M139" s="51">
        <v>-12262.78</v>
      </c>
      <c r="N139" s="51">
        <v>-15312.76</v>
      </c>
      <c r="O139" s="51">
        <v>-7089.43</v>
      </c>
      <c r="P139" s="51">
        <v>-12210.57</v>
      </c>
      <c r="Q139" s="51">
        <v>-30666.5</v>
      </c>
      <c r="R139" s="51">
        <v>-22606.21</v>
      </c>
      <c r="S139" s="51">
        <v>-54477.599999999999</v>
      </c>
      <c r="T139" s="51">
        <f t="shared" si="30"/>
        <v>-169490.72</v>
      </c>
    </row>
    <row r="140" spans="1:20" ht="15" thickBot="1" x14ac:dyDescent="0.35">
      <c r="A140" s="50"/>
      <c r="B140" s="50"/>
      <c r="C140" s="50"/>
      <c r="D140" s="50" t="s">
        <v>280</v>
      </c>
      <c r="E140" s="50"/>
      <c r="F140" s="50"/>
      <c r="G140" s="50"/>
      <c r="H140" s="51">
        <v>0</v>
      </c>
      <c r="I140" s="51">
        <v>5230</v>
      </c>
      <c r="J140" s="51">
        <v>0</v>
      </c>
      <c r="K140" s="51">
        <v>0</v>
      </c>
      <c r="L140" s="51">
        <v>0</v>
      </c>
      <c r="M140" s="51">
        <v>0</v>
      </c>
      <c r="N140" s="51">
        <v>0</v>
      </c>
      <c r="O140" s="51">
        <v>0</v>
      </c>
      <c r="P140" s="51">
        <v>0</v>
      </c>
      <c r="Q140" s="51">
        <v>0</v>
      </c>
      <c r="R140" s="51">
        <v>0</v>
      </c>
      <c r="S140" s="51">
        <v>0</v>
      </c>
      <c r="T140" s="51">
        <f t="shared" si="30"/>
        <v>5230</v>
      </c>
    </row>
    <row r="141" spans="1:20" ht="15" thickBot="1" x14ac:dyDescent="0.35">
      <c r="A141" s="50"/>
      <c r="B141" s="50"/>
      <c r="C141" s="50" t="s">
        <v>9</v>
      </c>
      <c r="D141" s="50"/>
      <c r="E141" s="50"/>
      <c r="F141" s="50"/>
      <c r="G141" s="50"/>
      <c r="H141" s="54">
        <f t="shared" ref="H141:S141" si="31">ROUND(SUM(H137:H140),5)</f>
        <v>-4192.53</v>
      </c>
      <c r="I141" s="54">
        <f t="shared" si="31"/>
        <v>8843.14</v>
      </c>
      <c r="J141" s="54">
        <f t="shared" si="31"/>
        <v>-10762.94</v>
      </c>
      <c r="K141" s="54">
        <f t="shared" si="31"/>
        <v>4326.8599999999997</v>
      </c>
      <c r="L141" s="54">
        <f t="shared" si="31"/>
        <v>-7360.71</v>
      </c>
      <c r="M141" s="54">
        <f t="shared" si="31"/>
        <v>-12262.78</v>
      </c>
      <c r="N141" s="54">
        <f t="shared" si="31"/>
        <v>-15312.76</v>
      </c>
      <c r="O141" s="54">
        <f t="shared" si="31"/>
        <v>-7089.43</v>
      </c>
      <c r="P141" s="54">
        <f t="shared" si="31"/>
        <v>-12210.57</v>
      </c>
      <c r="Q141" s="54">
        <f t="shared" si="31"/>
        <v>-29460.3</v>
      </c>
      <c r="R141" s="54">
        <f t="shared" si="31"/>
        <v>-22606.21</v>
      </c>
      <c r="S141" s="54">
        <f t="shared" si="31"/>
        <v>-54477.599999999999</v>
      </c>
      <c r="T141" s="54">
        <f t="shared" si="30"/>
        <v>-162565.82999999999</v>
      </c>
    </row>
    <row r="142" spans="1:20" ht="15" thickBot="1" x14ac:dyDescent="0.35">
      <c r="A142" s="50"/>
      <c r="B142" s="50" t="s">
        <v>10</v>
      </c>
      <c r="C142" s="50"/>
      <c r="D142" s="50"/>
      <c r="E142" s="50"/>
      <c r="F142" s="50"/>
      <c r="G142" s="50"/>
      <c r="H142" s="54">
        <f t="shared" ref="H142:S142" si="32">ROUND(H136+H141,5)</f>
        <v>-4192.53</v>
      </c>
      <c r="I142" s="54">
        <f t="shared" si="32"/>
        <v>8843.14</v>
      </c>
      <c r="J142" s="54">
        <f t="shared" si="32"/>
        <v>-10762.94</v>
      </c>
      <c r="K142" s="54">
        <f t="shared" si="32"/>
        <v>4326.8599999999997</v>
      </c>
      <c r="L142" s="54">
        <f t="shared" si="32"/>
        <v>-7360.71</v>
      </c>
      <c r="M142" s="54">
        <f t="shared" si="32"/>
        <v>-12262.78</v>
      </c>
      <c r="N142" s="54">
        <f t="shared" si="32"/>
        <v>-15312.76</v>
      </c>
      <c r="O142" s="54">
        <f t="shared" si="32"/>
        <v>-7089.43</v>
      </c>
      <c r="P142" s="54">
        <f t="shared" si="32"/>
        <v>-12210.57</v>
      </c>
      <c r="Q142" s="54">
        <f t="shared" si="32"/>
        <v>-29460.3</v>
      </c>
      <c r="R142" s="54">
        <f t="shared" si="32"/>
        <v>-22606.21</v>
      </c>
      <c r="S142" s="54">
        <f t="shared" si="32"/>
        <v>-54477.599999999999</v>
      </c>
      <c r="T142" s="54">
        <f t="shared" si="30"/>
        <v>-162565.82999999999</v>
      </c>
    </row>
    <row r="143" spans="1:20" s="56" customFormat="1" ht="10.8" thickBot="1" x14ac:dyDescent="0.25">
      <c r="A143" s="50" t="s">
        <v>11</v>
      </c>
      <c r="B143" s="50"/>
      <c r="C143" s="50"/>
      <c r="D143" s="50"/>
      <c r="E143" s="50"/>
      <c r="F143" s="50"/>
      <c r="G143" s="50"/>
      <c r="H143" s="55">
        <f t="shared" ref="H143:S143" si="33">ROUND(H135+H142,5)</f>
        <v>38036.639999999999</v>
      </c>
      <c r="I143" s="55">
        <f t="shared" si="33"/>
        <v>210189.52</v>
      </c>
      <c r="J143" s="55">
        <f t="shared" si="33"/>
        <v>-34255.57</v>
      </c>
      <c r="K143" s="55">
        <f t="shared" si="33"/>
        <v>24972.79</v>
      </c>
      <c r="L143" s="55">
        <f t="shared" si="33"/>
        <v>-28509.06</v>
      </c>
      <c r="M143" s="55">
        <f t="shared" si="33"/>
        <v>38740.58</v>
      </c>
      <c r="N143" s="55">
        <f t="shared" si="33"/>
        <v>11335.13</v>
      </c>
      <c r="O143" s="55">
        <f t="shared" si="33"/>
        <v>-20780.61</v>
      </c>
      <c r="P143" s="55">
        <f t="shared" si="33"/>
        <v>229859.34</v>
      </c>
      <c r="Q143" s="55">
        <f t="shared" si="33"/>
        <v>131497.29</v>
      </c>
      <c r="R143" s="55">
        <f t="shared" si="33"/>
        <v>-7491.14</v>
      </c>
      <c r="S143" s="55">
        <f t="shared" si="33"/>
        <v>-373401.36</v>
      </c>
      <c r="T143" s="55">
        <f t="shared" si="30"/>
        <v>220193.55</v>
      </c>
    </row>
    <row r="144" spans="1:20" ht="15" thickTop="1" x14ac:dyDescent="0.3"/>
  </sheetData>
  <pageMargins left="0.7" right="0.7" top="0.75" bottom="0.75" header="0.1" footer="0.3"/>
  <pageSetup orientation="portrait" horizontalDpi="0" verticalDpi="0" r:id="rId1"/>
  <headerFooter>
    <oddHeader>&amp;L&amp;"Arial,Bold"&amp;8 1:14 PM
&amp;"Arial,Bold"&amp;8 04/28/22
&amp;"Arial,Bold"&amp;8 Accrual Basis&amp;C&amp;"Arial,Bold"&amp;12 Temecula Public Cemetery District
&amp;"Arial,Bold"&amp;14 Profit &amp;&amp; Loss
&amp;"Arial,Bold"&amp;10 April 2021 through March 2022</oddHeader>
    <oddFooter>&amp;R&amp;"Arial,Bold"&amp;8 Page &amp;P of &amp;N</oddFooter>
  </headerFooter>
  <drawing r:id="rId2"/>
  <legacyDrawing r:id="rId3"/>
  <controls>
    <mc:AlternateContent xmlns:mc="http://schemas.openxmlformats.org/markup-compatibility/2006">
      <mc:Choice Requires="x14">
        <control shapeId="91137" r:id="rId4" name="FILTER">
          <controlPr defaultSize="0" autoLine="0" r:id="rId5">
            <anchor moveWithCells="1">
              <from>
                <xdr:col>0</xdr:col>
                <xdr:colOff>0</xdr:colOff>
                <xdr:row>0</xdr:row>
                <xdr:rowOff>0</xdr:rowOff>
              </from>
              <to>
                <xdr:col>4</xdr:col>
                <xdr:colOff>68580</xdr:colOff>
                <xdr:row>1</xdr:row>
                <xdr:rowOff>45720</xdr:rowOff>
              </to>
            </anchor>
          </controlPr>
        </control>
      </mc:Choice>
      <mc:Fallback>
        <control shapeId="91137" r:id="rId4" name="FILTER"/>
      </mc:Fallback>
    </mc:AlternateContent>
    <mc:AlternateContent xmlns:mc="http://schemas.openxmlformats.org/markup-compatibility/2006">
      <mc:Choice Requires="x14">
        <control shapeId="91138" r:id="rId6" name="HEADER">
          <controlPr defaultSize="0" autoLine="0" r:id="rId7">
            <anchor moveWithCells="1">
              <from>
                <xdr:col>0</xdr:col>
                <xdr:colOff>0</xdr:colOff>
                <xdr:row>0</xdr:row>
                <xdr:rowOff>0</xdr:rowOff>
              </from>
              <to>
                <xdr:col>4</xdr:col>
                <xdr:colOff>68580</xdr:colOff>
                <xdr:row>1</xdr:row>
                <xdr:rowOff>45720</xdr:rowOff>
              </to>
            </anchor>
          </controlPr>
        </control>
      </mc:Choice>
      <mc:Fallback>
        <control shapeId="91138" r:id="rId6" name="HEADER"/>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D14E7-9C19-4251-BB92-E7FBE934C298}">
  <sheetPr codeName="Sheet13"/>
  <dimension ref="A1:AE187"/>
  <sheetViews>
    <sheetView workbookViewId="0">
      <pane xSplit="6" ySplit="1" topLeftCell="G2" activePane="bottomRight" state="frozenSplit"/>
      <selection pane="topRight" activeCell="H1" sqref="H1"/>
      <selection pane="bottomLeft" activeCell="A2" sqref="A2"/>
      <selection pane="bottomRight" activeCell="AD16" sqref="AD16"/>
    </sheetView>
  </sheetViews>
  <sheetFormatPr defaultRowHeight="14.4" x14ac:dyDescent="0.3"/>
  <cols>
    <col min="1" max="5" width="3" style="56" customWidth="1"/>
    <col min="6" max="6" width="23.44140625" style="56" customWidth="1"/>
    <col min="7" max="8" width="7.109375" hidden="1" customWidth="1"/>
    <col min="9" max="9" width="7.88671875" hidden="1" customWidth="1"/>
    <col min="10" max="10" width="8.33203125" hidden="1" customWidth="1"/>
    <col min="11" max="11" width="7.109375" hidden="1" customWidth="1"/>
    <col min="12" max="12" width="7.5546875" hidden="1" customWidth="1"/>
    <col min="13" max="14" width="7.109375" hidden="1" customWidth="1"/>
    <col min="15" max="15" width="7.5546875" hidden="1" customWidth="1"/>
    <col min="16" max="17" width="7.88671875" hidden="1" customWidth="1"/>
    <col min="18" max="18" width="7.109375" hidden="1" customWidth="1"/>
    <col min="19" max="19" width="7.5546875" hidden="1" customWidth="1"/>
    <col min="20" max="22" width="9.5546875" hidden="1" customWidth="1"/>
    <col min="23" max="23" width="7.5546875" hidden="1" customWidth="1"/>
    <col min="24" max="24" width="10.109375" style="81" customWidth="1"/>
    <col min="25" max="26" width="9.5546875" style="81" customWidth="1"/>
    <col min="27" max="27" width="22.88671875" style="82" customWidth="1"/>
    <col min="29" max="29" width="7.6640625" customWidth="1"/>
    <col min="31" max="31" width="15.109375" customWidth="1"/>
  </cols>
  <sheetData>
    <row r="1" spans="1:27" s="47" customFormat="1" ht="51" customHeight="1" thickBot="1" x14ac:dyDescent="0.35">
      <c r="A1" s="57"/>
      <c r="B1" s="57"/>
      <c r="C1" s="57"/>
      <c r="D1" s="57"/>
      <c r="E1" s="57"/>
      <c r="F1" s="57"/>
      <c r="G1" s="58"/>
      <c r="H1" s="58"/>
      <c r="I1" s="58"/>
      <c r="J1" s="58"/>
      <c r="K1" s="58" t="s">
        <v>221</v>
      </c>
      <c r="L1" s="58" t="s">
        <v>222</v>
      </c>
      <c r="M1" s="58" t="s">
        <v>223</v>
      </c>
      <c r="N1" s="58" t="s">
        <v>224</v>
      </c>
      <c r="O1" s="58" t="s">
        <v>225</v>
      </c>
      <c r="P1" s="58" t="s">
        <v>226</v>
      </c>
      <c r="Q1" s="58" t="s">
        <v>227</v>
      </c>
      <c r="R1" s="58" t="s">
        <v>228</v>
      </c>
      <c r="S1" s="58" t="s">
        <v>229</v>
      </c>
      <c r="T1" s="58" t="s">
        <v>260</v>
      </c>
      <c r="U1" s="58" t="s">
        <v>234</v>
      </c>
      <c r="V1" s="58" t="s">
        <v>235</v>
      </c>
      <c r="W1" s="58"/>
      <c r="X1" s="66" t="s">
        <v>236</v>
      </c>
      <c r="Y1" s="66" t="s">
        <v>220</v>
      </c>
      <c r="Z1" s="66" t="s">
        <v>240</v>
      </c>
      <c r="AA1" s="66" t="s">
        <v>241</v>
      </c>
    </row>
    <row r="2" spans="1:27" ht="15" thickTop="1" x14ac:dyDescent="0.3">
      <c r="A2" s="50" t="s">
        <v>1</v>
      </c>
      <c r="B2" s="50"/>
      <c r="C2" s="50"/>
      <c r="D2" s="50"/>
      <c r="E2" s="50"/>
      <c r="F2" s="50"/>
      <c r="G2" s="51"/>
      <c r="H2" s="51"/>
      <c r="I2" s="51"/>
      <c r="J2" s="51"/>
      <c r="K2" s="51"/>
      <c r="L2" s="51"/>
      <c r="M2" s="51"/>
      <c r="N2" s="51"/>
      <c r="O2" s="51"/>
      <c r="P2" s="51"/>
      <c r="Q2" s="51"/>
      <c r="R2" s="51"/>
      <c r="S2" s="51"/>
      <c r="T2" s="51"/>
      <c r="U2" s="51"/>
      <c r="V2" s="51"/>
      <c r="W2" s="51"/>
      <c r="X2" s="67"/>
      <c r="Y2" s="67"/>
      <c r="Z2" s="67"/>
      <c r="AA2" s="68"/>
    </row>
    <row r="3" spans="1:27" x14ac:dyDescent="0.3">
      <c r="A3" s="50"/>
      <c r="B3" s="50"/>
      <c r="C3" s="50" t="s">
        <v>2</v>
      </c>
      <c r="D3" s="50"/>
      <c r="E3" s="50"/>
      <c r="F3" s="50"/>
      <c r="G3" s="51"/>
      <c r="H3" s="51"/>
      <c r="I3" s="51"/>
      <c r="J3" s="51"/>
      <c r="K3" s="51"/>
      <c r="L3" s="51"/>
      <c r="M3" s="51"/>
      <c r="N3" s="51"/>
      <c r="O3" s="51"/>
      <c r="P3" s="51"/>
      <c r="Q3" s="51"/>
      <c r="R3" s="51"/>
      <c r="S3" s="51"/>
      <c r="T3" s="51"/>
      <c r="U3" s="51"/>
      <c r="V3" s="51"/>
      <c r="W3" s="51"/>
      <c r="X3" s="67"/>
      <c r="Y3" s="67"/>
      <c r="Z3" s="67"/>
      <c r="AA3" s="68"/>
    </row>
    <row r="4" spans="1:27" x14ac:dyDescent="0.3">
      <c r="A4" s="50"/>
      <c r="B4" s="50"/>
      <c r="C4" s="50"/>
      <c r="D4" s="50" t="s">
        <v>74</v>
      </c>
      <c r="E4" s="50"/>
      <c r="F4" s="50"/>
      <c r="G4" s="51"/>
      <c r="H4" s="51"/>
      <c r="I4" s="51"/>
      <c r="J4" s="51"/>
      <c r="K4" s="51"/>
      <c r="L4" s="51"/>
      <c r="M4" s="51"/>
      <c r="N4" s="51"/>
      <c r="O4" s="51"/>
      <c r="P4" s="51"/>
      <c r="Q4" s="51"/>
      <c r="R4" s="51"/>
      <c r="S4" s="51"/>
      <c r="T4" s="51"/>
      <c r="U4" s="51"/>
      <c r="V4" s="51"/>
      <c r="W4" s="51"/>
      <c r="X4" s="67"/>
      <c r="Y4" s="67"/>
      <c r="Z4" s="67"/>
      <c r="AA4" s="68"/>
    </row>
    <row r="5" spans="1:27" x14ac:dyDescent="0.3">
      <c r="A5" s="50"/>
      <c r="B5" s="50"/>
      <c r="C5" s="50"/>
      <c r="D5" s="50"/>
      <c r="E5" s="50" t="s">
        <v>75</v>
      </c>
      <c r="F5" s="50"/>
      <c r="G5" s="51"/>
      <c r="H5" s="51"/>
      <c r="I5" s="51"/>
      <c r="J5" s="51"/>
      <c r="K5" s="51">
        <v>-4000.33</v>
      </c>
      <c r="L5" s="51">
        <v>0</v>
      </c>
      <c r="M5" s="51">
        <v>0</v>
      </c>
      <c r="N5" s="51">
        <v>0</v>
      </c>
      <c r="O5" s="51">
        <v>0</v>
      </c>
      <c r="P5" s="51">
        <v>198022.72</v>
      </c>
      <c r="Q5" s="51">
        <v>156187.59</v>
      </c>
      <c r="R5" s="51">
        <v>3095.51</v>
      </c>
      <c r="S5" s="51">
        <v>0</v>
      </c>
      <c r="T5" s="51">
        <v>66007.55</v>
      </c>
      <c r="U5" s="51">
        <v>190781.16</v>
      </c>
      <c r="V5" s="51">
        <v>13907</v>
      </c>
      <c r="W5" s="51"/>
      <c r="X5" s="67">
        <f t="shared" ref="X5:X14" si="0">ROUND(SUM(G5:W5),5)</f>
        <v>624001.19999999995</v>
      </c>
      <c r="Y5" s="67">
        <v>625300</v>
      </c>
      <c r="Z5" s="67">
        <v>663000</v>
      </c>
      <c r="AA5" s="68"/>
    </row>
    <row r="6" spans="1:27" x14ac:dyDescent="0.3">
      <c r="A6" s="50"/>
      <c r="B6" s="50"/>
      <c r="C6" s="50"/>
      <c r="D6" s="50"/>
      <c r="E6" s="50" t="s">
        <v>76</v>
      </c>
      <c r="F6" s="50"/>
      <c r="G6" s="51"/>
      <c r="H6" s="51"/>
      <c r="I6" s="51"/>
      <c r="J6" s="51"/>
      <c r="K6" s="51">
        <v>0</v>
      </c>
      <c r="L6" s="51">
        <v>0</v>
      </c>
      <c r="M6" s="51">
        <v>0</v>
      </c>
      <c r="N6" s="51">
        <v>25398.66</v>
      </c>
      <c r="O6" s="51">
        <v>0</v>
      </c>
      <c r="P6" s="51">
        <v>1708.76</v>
      </c>
      <c r="Q6" s="51">
        <v>0</v>
      </c>
      <c r="R6" s="51">
        <v>0</v>
      </c>
      <c r="S6" s="51">
        <v>0</v>
      </c>
      <c r="T6" s="51">
        <v>0</v>
      </c>
      <c r="U6" s="51">
        <v>0</v>
      </c>
      <c r="V6" s="51">
        <v>17730</v>
      </c>
      <c r="W6" s="51"/>
      <c r="X6" s="67">
        <f t="shared" si="0"/>
        <v>44837.42</v>
      </c>
      <c r="Y6" s="67">
        <v>15000</v>
      </c>
      <c r="Z6" s="67">
        <v>25000</v>
      </c>
      <c r="AA6" s="68" t="s">
        <v>254</v>
      </c>
    </row>
    <row r="7" spans="1:27" x14ac:dyDescent="0.3">
      <c r="A7" s="50"/>
      <c r="B7" s="50"/>
      <c r="C7" s="50"/>
      <c r="D7" s="50"/>
      <c r="E7" s="50" t="s">
        <v>77</v>
      </c>
      <c r="F7" s="50"/>
      <c r="G7" s="51"/>
      <c r="H7" s="51"/>
      <c r="I7" s="51"/>
      <c r="J7" s="51"/>
      <c r="K7" s="51">
        <v>0</v>
      </c>
      <c r="L7" s="51">
        <v>0</v>
      </c>
      <c r="M7" s="51">
        <v>0</v>
      </c>
      <c r="N7" s="51">
        <v>0</v>
      </c>
      <c r="O7" s="51">
        <v>0</v>
      </c>
      <c r="P7" s="51">
        <v>0</v>
      </c>
      <c r="Q7" s="51">
        <v>3744.8</v>
      </c>
      <c r="R7" s="51">
        <v>0</v>
      </c>
      <c r="S7" s="51">
        <v>2285.4699999999998</v>
      </c>
      <c r="T7" s="51">
        <v>0</v>
      </c>
      <c r="U7" s="51">
        <v>3115.61</v>
      </c>
      <c r="V7" s="51">
        <v>260</v>
      </c>
      <c r="W7" s="51"/>
      <c r="X7" s="67">
        <f t="shared" si="0"/>
        <v>9405.8799999999992</v>
      </c>
      <c r="Y7" s="67">
        <v>9000</v>
      </c>
      <c r="Z7" s="67">
        <v>9600</v>
      </c>
      <c r="AA7" s="68" t="s">
        <v>254</v>
      </c>
    </row>
    <row r="8" spans="1:27" x14ac:dyDescent="0.3">
      <c r="A8" s="50"/>
      <c r="B8" s="50"/>
      <c r="C8" s="50"/>
      <c r="D8" s="50"/>
      <c r="E8" s="50" t="s">
        <v>78</v>
      </c>
      <c r="F8" s="50"/>
      <c r="G8" s="51"/>
      <c r="H8" s="51"/>
      <c r="I8" s="51"/>
      <c r="J8" s="51"/>
      <c r="K8" s="51">
        <v>0</v>
      </c>
      <c r="L8" s="51">
        <v>0</v>
      </c>
      <c r="M8" s="51">
        <v>0</v>
      </c>
      <c r="N8" s="51">
        <v>0</v>
      </c>
      <c r="O8" s="51">
        <v>0</v>
      </c>
      <c r="P8" s="51">
        <v>0</v>
      </c>
      <c r="Q8" s="51">
        <v>3829.4</v>
      </c>
      <c r="R8" s="51">
        <v>0</v>
      </c>
      <c r="S8" s="51">
        <v>644.45000000000005</v>
      </c>
      <c r="T8" s="51">
        <v>0</v>
      </c>
      <c r="U8" s="51">
        <v>0</v>
      </c>
      <c r="V8" s="51">
        <v>2014.63</v>
      </c>
      <c r="W8" s="51"/>
      <c r="X8" s="67">
        <f t="shared" si="0"/>
        <v>6488.48</v>
      </c>
      <c r="Y8" s="67">
        <v>3500</v>
      </c>
      <c r="Z8" s="67">
        <v>4500</v>
      </c>
      <c r="AA8" s="68" t="s">
        <v>254</v>
      </c>
    </row>
    <row r="9" spans="1:27" x14ac:dyDescent="0.3">
      <c r="A9" s="50"/>
      <c r="B9" s="50"/>
      <c r="C9" s="50"/>
      <c r="D9" s="50"/>
      <c r="E9" s="50" t="s">
        <v>79</v>
      </c>
      <c r="F9" s="50"/>
      <c r="G9" s="51"/>
      <c r="H9" s="51"/>
      <c r="I9" s="51"/>
      <c r="J9" s="51"/>
      <c r="K9" s="51">
        <v>0</v>
      </c>
      <c r="L9" s="51">
        <v>0</v>
      </c>
      <c r="M9" s="51">
        <v>0</v>
      </c>
      <c r="N9" s="51">
        <v>4889.55</v>
      </c>
      <c r="O9" s="51">
        <v>0</v>
      </c>
      <c r="P9" s="51">
        <v>0</v>
      </c>
      <c r="Q9" s="51">
        <v>0</v>
      </c>
      <c r="R9" s="51">
        <v>0</v>
      </c>
      <c r="S9" s="51">
        <v>0</v>
      </c>
      <c r="T9" s="51">
        <v>0</v>
      </c>
      <c r="U9" s="51">
        <v>0</v>
      </c>
      <c r="V9" s="51">
        <v>-1639</v>
      </c>
      <c r="W9" s="51"/>
      <c r="X9" s="67">
        <f t="shared" si="0"/>
        <v>3250.55</v>
      </c>
      <c r="Y9" s="67">
        <v>10000</v>
      </c>
      <c r="Z9" s="67">
        <v>10000</v>
      </c>
      <c r="AA9" s="68"/>
    </row>
    <row r="10" spans="1:27" x14ac:dyDescent="0.3">
      <c r="A10" s="50"/>
      <c r="B10" s="50"/>
      <c r="C10" s="50"/>
      <c r="D10" s="50"/>
      <c r="E10" s="50" t="s">
        <v>80</v>
      </c>
      <c r="F10" s="50"/>
      <c r="G10" s="51"/>
      <c r="H10" s="51"/>
      <c r="I10" s="51"/>
      <c r="J10" s="51"/>
      <c r="K10" s="51">
        <v>0</v>
      </c>
      <c r="L10" s="51">
        <v>0</v>
      </c>
      <c r="M10" s="51">
        <v>0</v>
      </c>
      <c r="N10" s="51">
        <v>0</v>
      </c>
      <c r="O10" s="51">
        <v>0</v>
      </c>
      <c r="P10" s="51">
        <v>0</v>
      </c>
      <c r="Q10" s="51">
        <v>43513.8</v>
      </c>
      <c r="R10" s="51">
        <v>0</v>
      </c>
      <c r="S10" s="51">
        <v>0</v>
      </c>
      <c r="T10" s="51">
        <v>0</v>
      </c>
      <c r="U10" s="51">
        <v>0</v>
      </c>
      <c r="V10" s="51">
        <v>41834.04</v>
      </c>
      <c r="W10" s="51"/>
      <c r="X10" s="67">
        <f t="shared" si="0"/>
        <v>85347.839999999997</v>
      </c>
      <c r="Y10" s="67">
        <v>40000</v>
      </c>
      <c r="Z10" s="67">
        <v>40000</v>
      </c>
      <c r="AA10" s="68"/>
    </row>
    <row r="11" spans="1:27" x14ac:dyDescent="0.3">
      <c r="A11" s="50"/>
      <c r="B11" s="50"/>
      <c r="C11" s="50"/>
      <c r="D11" s="50"/>
      <c r="E11" s="50" t="s">
        <v>81</v>
      </c>
      <c r="F11" s="50"/>
      <c r="G11" s="51"/>
      <c r="H11" s="51"/>
      <c r="I11" s="51"/>
      <c r="J11" s="51"/>
      <c r="K11" s="51">
        <v>0</v>
      </c>
      <c r="L11" s="51">
        <v>0</v>
      </c>
      <c r="M11" s="51">
        <v>0</v>
      </c>
      <c r="N11" s="51">
        <v>0</v>
      </c>
      <c r="O11" s="51">
        <v>0</v>
      </c>
      <c r="P11" s="51">
        <v>0</v>
      </c>
      <c r="Q11" s="51">
        <v>0</v>
      </c>
      <c r="R11" s="51">
        <v>0</v>
      </c>
      <c r="S11" s="51">
        <v>0</v>
      </c>
      <c r="T11" s="51">
        <v>0</v>
      </c>
      <c r="U11" s="51">
        <v>2208.9</v>
      </c>
      <c r="V11" s="51">
        <v>946.84</v>
      </c>
      <c r="W11" s="51"/>
      <c r="X11" s="67">
        <f t="shared" si="0"/>
        <v>3155.74</v>
      </c>
      <c r="Y11" s="67">
        <v>7000</v>
      </c>
      <c r="Z11" s="67">
        <v>4000</v>
      </c>
      <c r="AA11" s="68"/>
    </row>
    <row r="12" spans="1:27" x14ac:dyDescent="0.3">
      <c r="A12" s="50"/>
      <c r="B12" s="50"/>
      <c r="C12" s="50"/>
      <c r="D12" s="50"/>
      <c r="E12" s="50" t="s">
        <v>82</v>
      </c>
      <c r="F12" s="50"/>
      <c r="G12" s="51"/>
      <c r="H12" s="51"/>
      <c r="I12" s="51"/>
      <c r="J12" s="51"/>
      <c r="K12" s="51">
        <v>0</v>
      </c>
      <c r="L12" s="51">
        <v>0</v>
      </c>
      <c r="M12" s="51">
        <v>0</v>
      </c>
      <c r="N12" s="51">
        <v>0</v>
      </c>
      <c r="O12" s="51">
        <v>0</v>
      </c>
      <c r="P12" s="51">
        <v>0</v>
      </c>
      <c r="Q12" s="51">
        <v>5671.54</v>
      </c>
      <c r="R12" s="51">
        <v>0</v>
      </c>
      <c r="S12" s="51">
        <v>0</v>
      </c>
      <c r="T12" s="51">
        <v>0</v>
      </c>
      <c r="U12" s="51">
        <v>4670.6000000000004</v>
      </c>
      <c r="V12" s="51">
        <v>143</v>
      </c>
      <c r="W12" s="51"/>
      <c r="X12" s="67">
        <f t="shared" si="0"/>
        <v>10485.14</v>
      </c>
      <c r="Y12" s="67">
        <v>10000</v>
      </c>
      <c r="Z12" s="67">
        <v>10500</v>
      </c>
      <c r="AA12" s="68"/>
    </row>
    <row r="13" spans="1:27" ht="15" thickBot="1" x14ac:dyDescent="0.35">
      <c r="A13" s="50"/>
      <c r="B13" s="50"/>
      <c r="C13" s="50"/>
      <c r="D13" s="50"/>
      <c r="E13" s="50" t="s">
        <v>83</v>
      </c>
      <c r="F13" s="50"/>
      <c r="G13" s="52"/>
      <c r="H13" s="52"/>
      <c r="I13" s="52"/>
      <c r="J13" s="52"/>
      <c r="K13" s="52">
        <v>0</v>
      </c>
      <c r="L13" s="52">
        <v>0</v>
      </c>
      <c r="M13" s="52">
        <v>0</v>
      </c>
      <c r="N13" s="52">
        <v>0</v>
      </c>
      <c r="O13" s="52">
        <v>0</v>
      </c>
      <c r="P13" s="52">
        <v>115.4</v>
      </c>
      <c r="Q13" s="52">
        <v>0</v>
      </c>
      <c r="R13" s="52">
        <v>0</v>
      </c>
      <c r="S13" s="52">
        <v>0</v>
      </c>
      <c r="T13" s="52">
        <v>0</v>
      </c>
      <c r="U13" s="52">
        <v>0</v>
      </c>
      <c r="V13" s="52">
        <v>0</v>
      </c>
      <c r="W13" s="52"/>
      <c r="X13" s="69">
        <f t="shared" si="0"/>
        <v>115.4</v>
      </c>
      <c r="Y13" s="69">
        <v>200</v>
      </c>
      <c r="Z13" s="69">
        <v>200</v>
      </c>
      <c r="AA13" s="70"/>
    </row>
    <row r="14" spans="1:27" x14ac:dyDescent="0.3">
      <c r="A14" s="50"/>
      <c r="B14" s="50"/>
      <c r="C14" s="50"/>
      <c r="D14" s="50" t="s">
        <v>84</v>
      </c>
      <c r="E14" s="50"/>
      <c r="F14" s="50"/>
      <c r="G14" s="51"/>
      <c r="H14" s="51"/>
      <c r="I14" s="51"/>
      <c r="J14" s="51"/>
      <c r="K14" s="51">
        <f t="shared" ref="K14:V14" si="1">ROUND(SUM(K4:K13),5)</f>
        <v>-4000.33</v>
      </c>
      <c r="L14" s="51">
        <f t="shared" si="1"/>
        <v>0</v>
      </c>
      <c r="M14" s="51">
        <f t="shared" si="1"/>
        <v>0</v>
      </c>
      <c r="N14" s="51">
        <f t="shared" si="1"/>
        <v>30288.21</v>
      </c>
      <c r="O14" s="51">
        <f t="shared" si="1"/>
        <v>0</v>
      </c>
      <c r="P14" s="51">
        <f t="shared" si="1"/>
        <v>199846.88</v>
      </c>
      <c r="Q14" s="51">
        <f t="shared" si="1"/>
        <v>212947.13</v>
      </c>
      <c r="R14" s="51">
        <f t="shared" si="1"/>
        <v>3095.51</v>
      </c>
      <c r="S14" s="51">
        <f t="shared" si="1"/>
        <v>2929.92</v>
      </c>
      <c r="T14" s="51">
        <f t="shared" si="1"/>
        <v>66007.55</v>
      </c>
      <c r="U14" s="51">
        <f t="shared" si="1"/>
        <v>200776.27</v>
      </c>
      <c r="V14" s="51">
        <f t="shared" si="1"/>
        <v>75196.509999999995</v>
      </c>
      <c r="W14" s="51"/>
      <c r="X14" s="67">
        <f t="shared" si="0"/>
        <v>787087.65</v>
      </c>
      <c r="Y14" s="67">
        <f>ROUND(SUM(Y4:Y13),5)</f>
        <v>720000</v>
      </c>
      <c r="Z14" s="67">
        <f>ROUND(SUM(Z4:Z13),5)</f>
        <v>766800</v>
      </c>
      <c r="AA14" s="68"/>
    </row>
    <row r="15" spans="1:27" x14ac:dyDescent="0.3">
      <c r="A15" s="50"/>
      <c r="B15" s="50"/>
      <c r="C15" s="50"/>
      <c r="D15" s="50" t="s">
        <v>85</v>
      </c>
      <c r="E15" s="50"/>
      <c r="F15" s="50"/>
      <c r="G15" s="51"/>
      <c r="H15" s="51"/>
      <c r="I15" s="51"/>
      <c r="J15" s="51"/>
      <c r="K15" s="51"/>
      <c r="L15" s="51"/>
      <c r="M15" s="51"/>
      <c r="N15" s="51"/>
      <c r="O15" s="51"/>
      <c r="P15" s="51"/>
      <c r="Q15" s="51"/>
      <c r="R15" s="51"/>
      <c r="S15" s="51"/>
      <c r="T15" s="51"/>
      <c r="U15" s="51"/>
      <c r="V15" s="51"/>
      <c r="W15" s="51"/>
      <c r="X15" s="67"/>
      <c r="Y15" s="67"/>
      <c r="Z15" s="67"/>
      <c r="AA15" s="68"/>
    </row>
    <row r="16" spans="1:27" x14ac:dyDescent="0.3">
      <c r="A16" s="50"/>
      <c r="B16" s="50"/>
      <c r="C16" s="50"/>
      <c r="D16" s="50"/>
      <c r="E16" s="50" t="s">
        <v>86</v>
      </c>
      <c r="F16" s="50"/>
      <c r="G16" s="51"/>
      <c r="H16" s="51"/>
      <c r="I16" s="51"/>
      <c r="J16" s="51"/>
      <c r="K16" s="51">
        <v>603.74</v>
      </c>
      <c r="L16" s="51">
        <v>636.47</v>
      </c>
      <c r="M16" s="51">
        <v>550.29999999999995</v>
      </c>
      <c r="N16" s="51">
        <v>512.91999999999996</v>
      </c>
      <c r="O16" s="51">
        <v>505.03</v>
      </c>
      <c r="P16" s="51">
        <v>452.33</v>
      </c>
      <c r="Q16" s="51">
        <v>7314.37</v>
      </c>
      <c r="R16" s="51">
        <v>420.5</v>
      </c>
      <c r="S16" s="51">
        <v>378.15</v>
      </c>
      <c r="T16" s="51">
        <v>381.98</v>
      </c>
      <c r="U16" s="51">
        <v>954.87</v>
      </c>
      <c r="V16" s="51">
        <v>652.66</v>
      </c>
      <c r="W16" s="51"/>
      <c r="X16" s="67">
        <f t="shared" ref="X16:X21" si="2">ROUND(SUM(G16:W16),5)</f>
        <v>13363.32</v>
      </c>
      <c r="Y16" s="67">
        <v>4000</v>
      </c>
      <c r="Z16" s="67">
        <v>10000</v>
      </c>
      <c r="AA16" s="68" t="s">
        <v>247</v>
      </c>
    </row>
    <row r="17" spans="1:27" x14ac:dyDescent="0.3">
      <c r="A17" s="50"/>
      <c r="B17" s="50"/>
      <c r="C17" s="50"/>
      <c r="D17" s="50"/>
      <c r="E17" s="50" t="s">
        <v>87</v>
      </c>
      <c r="F17" s="50"/>
      <c r="G17" s="51"/>
      <c r="H17" s="51"/>
      <c r="I17" s="51"/>
      <c r="J17" s="51"/>
      <c r="K17" s="51">
        <v>4709.55</v>
      </c>
      <c r="L17" s="51">
        <v>9565.7900000000009</v>
      </c>
      <c r="M17" s="51">
        <v>-941.62</v>
      </c>
      <c r="N17" s="51">
        <v>8144.95</v>
      </c>
      <c r="O17" s="51">
        <v>6079.05</v>
      </c>
      <c r="P17" s="51">
        <v>4930.87</v>
      </c>
      <c r="Q17" s="51">
        <v>4937.05</v>
      </c>
      <c r="R17" s="51">
        <v>4807.21</v>
      </c>
      <c r="S17" s="51">
        <v>4995.72</v>
      </c>
      <c r="T17" s="51">
        <v>6212.36</v>
      </c>
      <c r="U17" s="51">
        <v>5047.13</v>
      </c>
      <c r="V17" s="51">
        <v>5522.27</v>
      </c>
      <c r="W17" s="51"/>
      <c r="X17" s="67">
        <f t="shared" si="2"/>
        <v>64010.33</v>
      </c>
      <c r="Y17" s="67">
        <v>40000</v>
      </c>
      <c r="Z17" s="67">
        <v>50000</v>
      </c>
      <c r="AA17" s="68"/>
    </row>
    <row r="18" spans="1:27" x14ac:dyDescent="0.3">
      <c r="A18" s="50"/>
      <c r="B18" s="50"/>
      <c r="C18" s="50"/>
      <c r="D18" s="50"/>
      <c r="E18" s="50" t="s">
        <v>88</v>
      </c>
      <c r="F18" s="50"/>
      <c r="G18" s="51"/>
      <c r="H18" s="51"/>
      <c r="I18" s="51"/>
      <c r="J18" s="51"/>
      <c r="K18" s="51">
        <v>0</v>
      </c>
      <c r="L18" s="51">
        <v>0</v>
      </c>
      <c r="M18" s="51">
        <v>2382.91</v>
      </c>
      <c r="N18" s="51">
        <v>164.98</v>
      </c>
      <c r="O18" s="51">
        <v>0</v>
      </c>
      <c r="P18" s="51">
        <v>1779.4</v>
      </c>
      <c r="Q18" s="51">
        <v>208.6</v>
      </c>
      <c r="R18" s="51">
        <v>0</v>
      </c>
      <c r="S18" s="51">
        <v>1194.3699999999999</v>
      </c>
      <c r="T18" s="51">
        <v>83.37</v>
      </c>
      <c r="U18" s="51">
        <v>0</v>
      </c>
      <c r="V18" s="51">
        <v>5126.62</v>
      </c>
      <c r="W18" s="51"/>
      <c r="X18" s="67">
        <f t="shared" si="2"/>
        <v>10940.25</v>
      </c>
      <c r="Y18" s="67">
        <v>13000</v>
      </c>
      <c r="Z18" s="67">
        <v>10000</v>
      </c>
      <c r="AA18" s="68" t="s">
        <v>247</v>
      </c>
    </row>
    <row r="19" spans="1:27" x14ac:dyDescent="0.3">
      <c r="A19" s="50"/>
      <c r="B19" s="50"/>
      <c r="C19" s="50"/>
      <c r="D19" s="50"/>
      <c r="E19" s="50" t="s">
        <v>89</v>
      </c>
      <c r="F19" s="50"/>
      <c r="G19" s="51"/>
      <c r="H19" s="51"/>
      <c r="I19" s="51"/>
      <c r="J19" s="51"/>
      <c r="K19" s="51">
        <v>-854</v>
      </c>
      <c r="L19" s="51">
        <v>0</v>
      </c>
      <c r="M19" s="51">
        <v>541.74</v>
      </c>
      <c r="N19" s="51">
        <v>38.130000000000003</v>
      </c>
      <c r="O19" s="51">
        <v>0</v>
      </c>
      <c r="P19" s="51">
        <v>411.31</v>
      </c>
      <c r="Q19" s="51">
        <v>53.48</v>
      </c>
      <c r="R19" s="51">
        <v>0</v>
      </c>
      <c r="S19" s="51">
        <v>306.22000000000003</v>
      </c>
      <c r="T19" s="51">
        <v>19.61</v>
      </c>
      <c r="U19" s="51">
        <v>0</v>
      </c>
      <c r="V19" s="51">
        <v>816.59</v>
      </c>
      <c r="W19" s="51"/>
      <c r="X19" s="67">
        <f t="shared" si="2"/>
        <v>1333.08</v>
      </c>
      <c r="Y19" s="67">
        <v>3000</v>
      </c>
      <c r="Z19" s="67">
        <v>1000</v>
      </c>
      <c r="AA19" s="68" t="s">
        <v>247</v>
      </c>
    </row>
    <row r="20" spans="1:27" ht="15" thickBot="1" x14ac:dyDescent="0.35">
      <c r="A20" s="50"/>
      <c r="B20" s="50"/>
      <c r="C20" s="50"/>
      <c r="D20" s="50"/>
      <c r="E20" s="50" t="s">
        <v>90</v>
      </c>
      <c r="F20" s="50"/>
      <c r="G20" s="52"/>
      <c r="H20" s="52"/>
      <c r="I20" s="52"/>
      <c r="J20" s="52"/>
      <c r="K20" s="52">
        <v>-126</v>
      </c>
      <c r="L20" s="52">
        <v>0</v>
      </c>
      <c r="M20" s="52">
        <v>3663.49</v>
      </c>
      <c r="N20" s="52">
        <v>240.94</v>
      </c>
      <c r="O20" s="52">
        <v>0</v>
      </c>
      <c r="P20" s="52">
        <v>2598.63</v>
      </c>
      <c r="Q20" s="52">
        <v>304.14999999999998</v>
      </c>
      <c r="R20" s="52">
        <v>0</v>
      </c>
      <c r="S20" s="52">
        <v>1741.43</v>
      </c>
      <c r="T20" s="52">
        <v>99.78</v>
      </c>
      <c r="U20" s="52">
        <v>0</v>
      </c>
      <c r="V20" s="52">
        <v>6128.28</v>
      </c>
      <c r="W20" s="52"/>
      <c r="X20" s="69">
        <f t="shared" si="2"/>
        <v>14650.7</v>
      </c>
      <c r="Y20" s="69">
        <v>30000</v>
      </c>
      <c r="Z20" s="69">
        <v>20000</v>
      </c>
      <c r="AA20" s="70" t="s">
        <v>247</v>
      </c>
    </row>
    <row r="21" spans="1:27" x14ac:dyDescent="0.3">
      <c r="A21" s="50"/>
      <c r="B21" s="50"/>
      <c r="C21" s="50"/>
      <c r="D21" s="50" t="s">
        <v>91</v>
      </c>
      <c r="E21" s="50"/>
      <c r="F21" s="50"/>
      <c r="G21" s="51"/>
      <c r="H21" s="51"/>
      <c r="I21" s="51"/>
      <c r="J21" s="51"/>
      <c r="K21" s="51">
        <f t="shared" ref="K21:V21" si="3">ROUND(SUM(K15:K20),5)</f>
        <v>4333.29</v>
      </c>
      <c r="L21" s="51">
        <f t="shared" si="3"/>
        <v>10202.26</v>
      </c>
      <c r="M21" s="51">
        <f t="shared" si="3"/>
        <v>6196.82</v>
      </c>
      <c r="N21" s="51">
        <f t="shared" si="3"/>
        <v>9101.92</v>
      </c>
      <c r="O21" s="51">
        <f t="shared" si="3"/>
        <v>6584.08</v>
      </c>
      <c r="P21" s="51">
        <f t="shared" si="3"/>
        <v>10172.540000000001</v>
      </c>
      <c r="Q21" s="51">
        <f t="shared" si="3"/>
        <v>12817.65</v>
      </c>
      <c r="R21" s="51">
        <f t="shared" si="3"/>
        <v>5227.71</v>
      </c>
      <c r="S21" s="51">
        <f t="shared" si="3"/>
        <v>8615.89</v>
      </c>
      <c r="T21" s="51">
        <f t="shared" si="3"/>
        <v>6797.1</v>
      </c>
      <c r="U21" s="51">
        <f t="shared" si="3"/>
        <v>6002</v>
      </c>
      <c r="V21" s="51">
        <f t="shared" si="3"/>
        <v>18246.419999999998</v>
      </c>
      <c r="W21" s="51"/>
      <c r="X21" s="67">
        <f t="shared" si="2"/>
        <v>104297.68</v>
      </c>
      <c r="Y21" s="67">
        <f>ROUND(SUM(Y15:Y20),5)</f>
        <v>90000</v>
      </c>
      <c r="Z21" s="67">
        <f>ROUND(SUM(Z15:Z20),5)</f>
        <v>91000</v>
      </c>
      <c r="AA21" s="68"/>
    </row>
    <row r="22" spans="1:27" x14ac:dyDescent="0.3">
      <c r="A22" s="50"/>
      <c r="B22" s="50"/>
      <c r="C22" s="50"/>
      <c r="D22" s="50" t="s">
        <v>92</v>
      </c>
      <c r="E22" s="50"/>
      <c r="F22" s="50"/>
      <c r="G22" s="51"/>
      <c r="H22" s="51"/>
      <c r="I22" s="51"/>
      <c r="J22" s="51"/>
      <c r="K22" s="51"/>
      <c r="L22" s="51"/>
      <c r="M22" s="51"/>
      <c r="N22" s="51"/>
      <c r="O22" s="51"/>
      <c r="P22" s="51"/>
      <c r="Q22" s="51"/>
      <c r="R22" s="51"/>
      <c r="S22" s="51"/>
      <c r="T22" s="51"/>
      <c r="U22" s="51"/>
      <c r="V22" s="51"/>
      <c r="W22" s="51"/>
      <c r="X22" s="67"/>
      <c r="Y22" s="67"/>
      <c r="Z22" s="67"/>
      <c r="AA22" s="68"/>
    </row>
    <row r="23" spans="1:27" x14ac:dyDescent="0.3">
      <c r="A23" s="50"/>
      <c r="B23" s="50"/>
      <c r="C23" s="50"/>
      <c r="D23" s="50"/>
      <c r="E23" s="50" t="s">
        <v>93</v>
      </c>
      <c r="F23" s="50"/>
      <c r="G23" s="51"/>
      <c r="H23" s="51"/>
      <c r="I23" s="51"/>
      <c r="J23" s="51"/>
      <c r="K23" s="51">
        <v>8225</v>
      </c>
      <c r="L23" s="51">
        <v>10866.67</v>
      </c>
      <c r="M23" s="51">
        <v>9500</v>
      </c>
      <c r="N23" s="51">
        <v>25066.67</v>
      </c>
      <c r="O23" s="51">
        <v>7800</v>
      </c>
      <c r="P23" s="51">
        <v>20950</v>
      </c>
      <c r="Q23" s="51">
        <v>19000</v>
      </c>
      <c r="R23" s="51">
        <v>24450</v>
      </c>
      <c r="S23" s="51">
        <v>22500</v>
      </c>
      <c r="T23" s="51">
        <v>12325</v>
      </c>
      <c r="U23" s="51">
        <v>5000</v>
      </c>
      <c r="V23" s="51">
        <v>10643</v>
      </c>
      <c r="W23" s="51"/>
      <c r="X23" s="67">
        <f t="shared" ref="X23:X34" si="4">ROUND(SUM(G23:W23),5)</f>
        <v>176326.34</v>
      </c>
      <c r="Y23" s="67">
        <v>120000</v>
      </c>
      <c r="Z23" s="67">
        <v>165000</v>
      </c>
      <c r="AA23" s="68" t="s">
        <v>247</v>
      </c>
    </row>
    <row r="24" spans="1:27" x14ac:dyDescent="0.3">
      <c r="A24" s="50"/>
      <c r="B24" s="50"/>
      <c r="C24" s="50"/>
      <c r="D24" s="50"/>
      <c r="E24" s="50" t="s">
        <v>94</v>
      </c>
      <c r="F24" s="50"/>
      <c r="G24" s="51"/>
      <c r="H24" s="51"/>
      <c r="I24" s="51"/>
      <c r="J24" s="51"/>
      <c r="K24" s="51">
        <v>1200</v>
      </c>
      <c r="L24" s="51">
        <v>1410</v>
      </c>
      <c r="M24" s="51">
        <v>1250</v>
      </c>
      <c r="N24" s="51">
        <v>2500</v>
      </c>
      <c r="O24" s="51">
        <v>500</v>
      </c>
      <c r="P24" s="51">
        <v>2000</v>
      </c>
      <c r="Q24" s="51">
        <v>1250</v>
      </c>
      <c r="R24" s="51">
        <v>1910</v>
      </c>
      <c r="S24" s="51">
        <v>2500</v>
      </c>
      <c r="T24" s="51">
        <v>1450</v>
      </c>
      <c r="U24" s="51">
        <v>1250</v>
      </c>
      <c r="V24" s="51">
        <v>750</v>
      </c>
      <c r="W24" s="51"/>
      <c r="X24" s="67">
        <f t="shared" si="4"/>
        <v>17970</v>
      </c>
      <c r="Y24" s="67">
        <v>12000</v>
      </c>
      <c r="Z24" s="67">
        <v>18000</v>
      </c>
      <c r="AA24" s="68"/>
    </row>
    <row r="25" spans="1:27" x14ac:dyDescent="0.3">
      <c r="A25" s="50"/>
      <c r="B25" s="50"/>
      <c r="C25" s="50"/>
      <c r="D25" s="50"/>
      <c r="E25" s="50" t="s">
        <v>230</v>
      </c>
      <c r="F25" s="50"/>
      <c r="G25" s="51"/>
      <c r="H25" s="51"/>
      <c r="I25" s="51"/>
      <c r="J25" s="51"/>
      <c r="K25" s="51">
        <v>0</v>
      </c>
      <c r="L25" s="51">
        <v>0</v>
      </c>
      <c r="M25" s="51">
        <v>0</v>
      </c>
      <c r="N25" s="51">
        <v>0</v>
      </c>
      <c r="O25" s="51">
        <v>0</v>
      </c>
      <c r="P25" s="51">
        <v>450</v>
      </c>
      <c r="Q25" s="51">
        <v>0</v>
      </c>
      <c r="R25" s="51">
        <v>450</v>
      </c>
      <c r="S25" s="51">
        <v>0</v>
      </c>
      <c r="T25" s="51">
        <v>225</v>
      </c>
      <c r="U25" s="51">
        <v>0</v>
      </c>
      <c r="V25" s="51">
        <v>0</v>
      </c>
      <c r="W25" s="51"/>
      <c r="X25" s="67">
        <f t="shared" si="4"/>
        <v>1125</v>
      </c>
      <c r="Y25" s="67">
        <v>0</v>
      </c>
      <c r="Z25" s="67">
        <v>3000</v>
      </c>
      <c r="AA25" s="68"/>
    </row>
    <row r="26" spans="1:27" x14ac:dyDescent="0.3">
      <c r="A26" s="50"/>
      <c r="B26" s="50"/>
      <c r="C26" s="50"/>
      <c r="D26" s="50"/>
      <c r="E26" s="50" t="s">
        <v>95</v>
      </c>
      <c r="F26" s="50"/>
      <c r="G26" s="51"/>
      <c r="H26" s="51"/>
      <c r="I26" s="51"/>
      <c r="J26" s="51"/>
      <c r="K26" s="51">
        <v>3650</v>
      </c>
      <c r="L26" s="51">
        <v>3250</v>
      </c>
      <c r="M26" s="51">
        <v>2800</v>
      </c>
      <c r="N26" s="51">
        <v>6100</v>
      </c>
      <c r="O26" s="51">
        <v>100</v>
      </c>
      <c r="P26" s="51">
        <v>4900</v>
      </c>
      <c r="Q26" s="51">
        <v>3500</v>
      </c>
      <c r="R26" s="51">
        <v>7650</v>
      </c>
      <c r="S26" s="51">
        <v>8000</v>
      </c>
      <c r="T26" s="51">
        <v>3700</v>
      </c>
      <c r="U26" s="51">
        <v>5150</v>
      </c>
      <c r="V26" s="51">
        <v>2550</v>
      </c>
      <c r="W26" s="51"/>
      <c r="X26" s="67">
        <f t="shared" si="4"/>
        <v>51350</v>
      </c>
      <c r="Y26" s="67">
        <v>30000</v>
      </c>
      <c r="Z26" s="67">
        <v>47000</v>
      </c>
      <c r="AA26" s="68"/>
    </row>
    <row r="27" spans="1:27" x14ac:dyDescent="0.3">
      <c r="A27" s="50"/>
      <c r="B27" s="50"/>
      <c r="C27" s="50"/>
      <c r="D27" s="50"/>
      <c r="E27" s="50" t="s">
        <v>96</v>
      </c>
      <c r="F27" s="50"/>
      <c r="G27" s="51"/>
      <c r="H27" s="51"/>
      <c r="I27" s="51"/>
      <c r="J27" s="51"/>
      <c r="K27" s="51">
        <v>2500</v>
      </c>
      <c r="L27" s="51">
        <v>6083.33</v>
      </c>
      <c r="M27" s="51">
        <v>16450</v>
      </c>
      <c r="N27" s="51">
        <v>17583.330000000002</v>
      </c>
      <c r="O27" s="51">
        <v>0</v>
      </c>
      <c r="P27" s="51">
        <v>3050</v>
      </c>
      <c r="Q27" s="51">
        <v>4000</v>
      </c>
      <c r="R27" s="51">
        <v>9050</v>
      </c>
      <c r="S27" s="51">
        <v>16650</v>
      </c>
      <c r="T27" s="51">
        <v>2675</v>
      </c>
      <c r="U27" s="51">
        <v>1725</v>
      </c>
      <c r="V27" s="51">
        <v>5357</v>
      </c>
      <c r="W27" s="51"/>
      <c r="X27" s="67">
        <f t="shared" si="4"/>
        <v>85123.66</v>
      </c>
      <c r="Y27" s="67">
        <v>67000</v>
      </c>
      <c r="Z27" s="67">
        <v>70000</v>
      </c>
      <c r="AA27" s="68"/>
    </row>
    <row r="28" spans="1:27" x14ac:dyDescent="0.3">
      <c r="A28" s="50"/>
      <c r="B28" s="50"/>
      <c r="C28" s="50"/>
      <c r="D28" s="50"/>
      <c r="E28" s="50" t="s">
        <v>97</v>
      </c>
      <c r="F28" s="50"/>
      <c r="G28" s="51"/>
      <c r="H28" s="51"/>
      <c r="I28" s="51"/>
      <c r="J28" s="51"/>
      <c r="K28" s="51">
        <v>1500</v>
      </c>
      <c r="L28" s="51">
        <v>0</v>
      </c>
      <c r="M28" s="51">
        <v>1600</v>
      </c>
      <c r="N28" s="51">
        <v>0</v>
      </c>
      <c r="O28" s="51">
        <v>3000</v>
      </c>
      <c r="P28" s="51">
        <v>3100</v>
      </c>
      <c r="Q28" s="51">
        <v>0</v>
      </c>
      <c r="R28" s="51">
        <v>3300</v>
      </c>
      <c r="S28" s="51">
        <v>1500</v>
      </c>
      <c r="T28" s="51">
        <v>3100</v>
      </c>
      <c r="U28" s="51">
        <v>0</v>
      </c>
      <c r="V28" s="51">
        <v>1500</v>
      </c>
      <c r="W28" s="51"/>
      <c r="X28" s="67">
        <f t="shared" si="4"/>
        <v>18600</v>
      </c>
      <c r="Y28" s="67">
        <v>27000</v>
      </c>
      <c r="Z28" s="67">
        <v>17000</v>
      </c>
      <c r="AA28" s="68"/>
    </row>
    <row r="29" spans="1:27" x14ac:dyDescent="0.3">
      <c r="A29" s="50"/>
      <c r="B29" s="50"/>
      <c r="C29" s="50"/>
      <c r="D29" s="50"/>
      <c r="E29" s="50" t="s">
        <v>198</v>
      </c>
      <c r="F29" s="50"/>
      <c r="G29" s="51"/>
      <c r="H29" s="51"/>
      <c r="I29" s="51"/>
      <c r="J29" s="51"/>
      <c r="K29" s="51">
        <v>0</v>
      </c>
      <c r="L29" s="51">
        <v>0</v>
      </c>
      <c r="M29" s="51">
        <v>0</v>
      </c>
      <c r="N29" s="51">
        <v>0</v>
      </c>
      <c r="O29" s="51">
        <v>300</v>
      </c>
      <c r="P29" s="51">
        <v>0</v>
      </c>
      <c r="Q29" s="51">
        <v>0</v>
      </c>
      <c r="R29" s="51">
        <v>0</v>
      </c>
      <c r="S29" s="51">
        <v>0</v>
      </c>
      <c r="T29" s="51">
        <v>0</v>
      </c>
      <c r="U29" s="51">
        <v>0</v>
      </c>
      <c r="V29" s="51">
        <v>0</v>
      </c>
      <c r="W29" s="51"/>
      <c r="X29" s="67">
        <f t="shared" si="4"/>
        <v>300</v>
      </c>
      <c r="Y29" s="67">
        <v>300</v>
      </c>
      <c r="Z29" s="67">
        <v>300</v>
      </c>
      <c r="AA29" s="68"/>
    </row>
    <row r="30" spans="1:27" ht="21.6" x14ac:dyDescent="0.3">
      <c r="A30" s="50"/>
      <c r="B30" s="50"/>
      <c r="C30" s="50"/>
      <c r="D30" s="50"/>
      <c r="E30" s="50" t="s">
        <v>231</v>
      </c>
      <c r="F30" s="50"/>
      <c r="G30" s="51"/>
      <c r="H30" s="51"/>
      <c r="I30" s="51"/>
      <c r="J30" s="51"/>
      <c r="K30" s="51">
        <v>0</v>
      </c>
      <c r="L30" s="51">
        <v>0</v>
      </c>
      <c r="M30" s="51">
        <v>0</v>
      </c>
      <c r="N30" s="51">
        <v>-500</v>
      </c>
      <c r="O30" s="51">
        <v>500</v>
      </c>
      <c r="P30" s="51">
        <v>2000</v>
      </c>
      <c r="Q30" s="51">
        <v>1500</v>
      </c>
      <c r="R30" s="51">
        <v>0</v>
      </c>
      <c r="S30" s="51">
        <v>0</v>
      </c>
      <c r="T30" s="51">
        <v>0</v>
      </c>
      <c r="U30" s="51">
        <v>0</v>
      </c>
      <c r="V30" s="51">
        <v>0</v>
      </c>
      <c r="W30" s="51"/>
      <c r="X30" s="67">
        <f t="shared" si="4"/>
        <v>3500</v>
      </c>
      <c r="Y30" s="67">
        <v>0</v>
      </c>
      <c r="Z30" s="67">
        <v>6500</v>
      </c>
      <c r="AA30" s="68" t="s">
        <v>257</v>
      </c>
    </row>
    <row r="31" spans="1:27" x14ac:dyDescent="0.3">
      <c r="A31" s="50"/>
      <c r="B31" s="50"/>
      <c r="C31" s="50"/>
      <c r="D31" s="50"/>
      <c r="E31" s="50" t="s">
        <v>98</v>
      </c>
      <c r="F31" s="50"/>
      <c r="G31" s="51"/>
      <c r="H31" s="51"/>
      <c r="I31" s="51"/>
      <c r="J31" s="51"/>
      <c r="K31" s="51">
        <v>1750</v>
      </c>
      <c r="L31" s="51">
        <v>950</v>
      </c>
      <c r="M31" s="51">
        <v>785</v>
      </c>
      <c r="N31" s="51">
        <v>1550</v>
      </c>
      <c r="O31" s="51">
        <v>500</v>
      </c>
      <c r="P31" s="51">
        <v>1320</v>
      </c>
      <c r="Q31" s="51">
        <v>1330</v>
      </c>
      <c r="R31" s="51">
        <v>4113.1499999999996</v>
      </c>
      <c r="S31" s="51">
        <v>2765</v>
      </c>
      <c r="T31" s="51">
        <v>985</v>
      </c>
      <c r="U31" s="51">
        <v>3010</v>
      </c>
      <c r="V31" s="51">
        <v>300</v>
      </c>
      <c r="W31" s="51"/>
      <c r="X31" s="67">
        <f t="shared" si="4"/>
        <v>19358.150000000001</v>
      </c>
      <c r="Y31" s="67">
        <v>12000</v>
      </c>
      <c r="Z31" s="67">
        <v>16000</v>
      </c>
      <c r="AA31" s="68"/>
    </row>
    <row r="32" spans="1:27" ht="15" thickBot="1" x14ac:dyDescent="0.35">
      <c r="A32" s="50"/>
      <c r="B32" s="50"/>
      <c r="C32" s="50"/>
      <c r="D32" s="50"/>
      <c r="E32" s="50" t="s">
        <v>99</v>
      </c>
      <c r="F32" s="50"/>
      <c r="G32" s="51"/>
      <c r="H32" s="51"/>
      <c r="I32" s="51"/>
      <c r="J32" s="51"/>
      <c r="K32" s="51">
        <v>0</v>
      </c>
      <c r="L32" s="51">
        <v>0</v>
      </c>
      <c r="M32" s="51">
        <v>0</v>
      </c>
      <c r="N32" s="51">
        <v>0</v>
      </c>
      <c r="O32" s="51">
        <v>0</v>
      </c>
      <c r="P32" s="51">
        <v>0</v>
      </c>
      <c r="Q32" s="51">
        <v>0</v>
      </c>
      <c r="R32" s="51">
        <v>0</v>
      </c>
      <c r="S32" s="51">
        <v>0</v>
      </c>
      <c r="T32" s="51">
        <v>0</v>
      </c>
      <c r="U32" s="51">
        <v>25</v>
      </c>
      <c r="V32" s="51">
        <v>145.41999999999999</v>
      </c>
      <c r="W32" s="51"/>
      <c r="X32" s="67">
        <f t="shared" si="4"/>
        <v>170.42</v>
      </c>
      <c r="Y32" s="67">
        <v>500</v>
      </c>
      <c r="Z32" s="67">
        <v>400</v>
      </c>
      <c r="AA32" s="68"/>
    </row>
    <row r="33" spans="1:29" ht="15" thickBot="1" x14ac:dyDescent="0.35">
      <c r="A33" s="50"/>
      <c r="B33" s="50"/>
      <c r="C33" s="50"/>
      <c r="D33" s="50" t="s">
        <v>100</v>
      </c>
      <c r="E33" s="50"/>
      <c r="F33" s="50"/>
      <c r="G33" s="53"/>
      <c r="H33" s="53"/>
      <c r="I33" s="53"/>
      <c r="J33" s="53"/>
      <c r="K33" s="53">
        <f t="shared" ref="K33:V33" si="5">ROUND(SUM(K22:K32),5)</f>
        <v>18825</v>
      </c>
      <c r="L33" s="53">
        <f t="shared" si="5"/>
        <v>22560</v>
      </c>
      <c r="M33" s="53">
        <f t="shared" si="5"/>
        <v>32385</v>
      </c>
      <c r="N33" s="53">
        <f t="shared" si="5"/>
        <v>52300</v>
      </c>
      <c r="O33" s="53">
        <f t="shared" si="5"/>
        <v>12700</v>
      </c>
      <c r="P33" s="53">
        <f t="shared" si="5"/>
        <v>37770</v>
      </c>
      <c r="Q33" s="53">
        <f t="shared" si="5"/>
        <v>30580</v>
      </c>
      <c r="R33" s="53">
        <f t="shared" si="5"/>
        <v>50923.15</v>
      </c>
      <c r="S33" s="53">
        <f t="shared" si="5"/>
        <v>53915</v>
      </c>
      <c r="T33" s="53">
        <f t="shared" si="5"/>
        <v>24460</v>
      </c>
      <c r="U33" s="53">
        <f t="shared" si="5"/>
        <v>16160</v>
      </c>
      <c r="V33" s="53">
        <f t="shared" si="5"/>
        <v>21245.42</v>
      </c>
      <c r="W33" s="53"/>
      <c r="X33" s="71">
        <f t="shared" si="4"/>
        <v>373823.57</v>
      </c>
      <c r="Y33" s="71">
        <f>ROUND(SUM(Y22:Y32),5)</f>
        <v>268800</v>
      </c>
      <c r="Z33" s="71">
        <f>ROUND(SUM(Z22:Z32),5)</f>
        <v>343200</v>
      </c>
      <c r="AA33" s="72"/>
    </row>
    <row r="34" spans="1:29" x14ac:dyDescent="0.3">
      <c r="A34" s="50"/>
      <c r="B34" s="50"/>
      <c r="C34" s="50" t="s">
        <v>3</v>
      </c>
      <c r="D34" s="50"/>
      <c r="E34" s="50"/>
      <c r="F34" s="50"/>
      <c r="G34" s="51"/>
      <c r="H34" s="51"/>
      <c r="I34" s="51"/>
      <c r="J34" s="51"/>
      <c r="K34" s="51">
        <f t="shared" ref="K34:V34" si="6">ROUND(K3+K14+K21+K33,5)</f>
        <v>19157.96</v>
      </c>
      <c r="L34" s="51">
        <f t="shared" si="6"/>
        <v>32762.26</v>
      </c>
      <c r="M34" s="51">
        <f t="shared" si="6"/>
        <v>38581.82</v>
      </c>
      <c r="N34" s="51">
        <f t="shared" si="6"/>
        <v>91690.13</v>
      </c>
      <c r="O34" s="51">
        <f t="shared" si="6"/>
        <v>19284.080000000002</v>
      </c>
      <c r="P34" s="51">
        <f t="shared" si="6"/>
        <v>247789.42</v>
      </c>
      <c r="Q34" s="51">
        <f t="shared" si="6"/>
        <v>256344.78</v>
      </c>
      <c r="R34" s="51">
        <f t="shared" si="6"/>
        <v>59246.37</v>
      </c>
      <c r="S34" s="51">
        <f t="shared" si="6"/>
        <v>65460.81</v>
      </c>
      <c r="T34" s="51">
        <f t="shared" si="6"/>
        <v>97264.65</v>
      </c>
      <c r="U34" s="51">
        <f t="shared" si="6"/>
        <v>222938.27</v>
      </c>
      <c r="V34" s="51">
        <f t="shared" si="6"/>
        <v>114688.35</v>
      </c>
      <c r="W34" s="51"/>
      <c r="X34" s="67">
        <f t="shared" si="4"/>
        <v>1265208.8999999999</v>
      </c>
      <c r="Y34" s="67">
        <f>ROUND(Y3+Y14+Y21+Y33,5)</f>
        <v>1078800</v>
      </c>
      <c r="Z34" s="67">
        <f>ROUND(Z3+Z14+Z21+Z33,5)</f>
        <v>1201000</v>
      </c>
      <c r="AA34" s="68"/>
    </row>
    <row r="35" spans="1:29" hidden="1" x14ac:dyDescent="0.3">
      <c r="A35" s="50"/>
      <c r="B35" s="50"/>
      <c r="C35" s="50" t="s">
        <v>101</v>
      </c>
      <c r="D35" s="50"/>
      <c r="E35" s="50"/>
      <c r="F35" s="50"/>
      <c r="G35" s="51"/>
      <c r="H35" s="51"/>
      <c r="I35" s="51"/>
      <c r="J35" s="51"/>
      <c r="K35" s="51"/>
      <c r="L35" s="51"/>
      <c r="M35" s="51"/>
      <c r="N35" s="51"/>
      <c r="O35" s="51"/>
      <c r="P35" s="51"/>
      <c r="Q35" s="51"/>
      <c r="R35" s="51"/>
      <c r="S35" s="51"/>
      <c r="T35" s="51"/>
      <c r="U35" s="51"/>
      <c r="V35" s="51"/>
      <c r="W35" s="51"/>
      <c r="X35" s="67"/>
      <c r="Y35" s="67"/>
      <c r="Z35" s="67"/>
      <c r="AA35" s="68"/>
    </row>
    <row r="36" spans="1:29" hidden="1" x14ac:dyDescent="0.3">
      <c r="A36" s="50"/>
      <c r="B36" s="50"/>
      <c r="C36" s="50"/>
      <c r="D36" s="50" t="s">
        <v>102</v>
      </c>
      <c r="E36" s="50"/>
      <c r="F36" s="50"/>
      <c r="G36" s="51"/>
      <c r="H36" s="51"/>
      <c r="I36" s="51"/>
      <c r="J36" s="51"/>
      <c r="K36" s="51">
        <v>0</v>
      </c>
      <c r="L36" s="51">
        <v>0</v>
      </c>
      <c r="M36" s="51">
        <v>0</v>
      </c>
      <c r="N36" s="51">
        <v>0</v>
      </c>
      <c r="O36" s="51">
        <v>0</v>
      </c>
      <c r="P36" s="51">
        <v>0</v>
      </c>
      <c r="Q36" s="51">
        <v>0</v>
      </c>
      <c r="R36" s="51">
        <v>0</v>
      </c>
      <c r="S36" s="51">
        <v>0</v>
      </c>
      <c r="T36" s="51">
        <v>0</v>
      </c>
      <c r="U36" s="51">
        <v>0</v>
      </c>
      <c r="V36" s="51">
        <v>0</v>
      </c>
      <c r="W36" s="51"/>
      <c r="X36" s="67">
        <f>ROUND(SUM(G36:W36),5)</f>
        <v>0</v>
      </c>
      <c r="Y36" s="67">
        <v>0</v>
      </c>
      <c r="Z36" s="67">
        <v>0</v>
      </c>
      <c r="AA36" s="68"/>
    </row>
    <row r="37" spans="1:29" ht="15" hidden="1" thickBot="1" x14ac:dyDescent="0.35">
      <c r="A37" s="50"/>
      <c r="B37" s="50"/>
      <c r="C37" s="50" t="s">
        <v>103</v>
      </c>
      <c r="D37" s="50"/>
      <c r="E37" s="50"/>
      <c r="F37" s="50"/>
      <c r="G37" s="53"/>
      <c r="H37" s="53"/>
      <c r="I37" s="53"/>
      <c r="J37" s="53"/>
      <c r="K37" s="53">
        <f t="shared" ref="K37:V37" si="7">ROUND(SUM(K35:K36),5)</f>
        <v>0</v>
      </c>
      <c r="L37" s="53">
        <f t="shared" si="7"/>
        <v>0</v>
      </c>
      <c r="M37" s="53">
        <f t="shared" si="7"/>
        <v>0</v>
      </c>
      <c r="N37" s="53">
        <f t="shared" si="7"/>
        <v>0</v>
      </c>
      <c r="O37" s="53">
        <f t="shared" si="7"/>
        <v>0</v>
      </c>
      <c r="P37" s="53">
        <f t="shared" si="7"/>
        <v>0</v>
      </c>
      <c r="Q37" s="53">
        <f t="shared" si="7"/>
        <v>0</v>
      </c>
      <c r="R37" s="53">
        <f t="shared" si="7"/>
        <v>0</v>
      </c>
      <c r="S37" s="53">
        <f t="shared" si="7"/>
        <v>0</v>
      </c>
      <c r="T37" s="53">
        <f t="shared" si="7"/>
        <v>0</v>
      </c>
      <c r="U37" s="53">
        <f t="shared" si="7"/>
        <v>0</v>
      </c>
      <c r="V37" s="53">
        <f t="shared" si="7"/>
        <v>0</v>
      </c>
      <c r="W37" s="53"/>
      <c r="X37" s="71">
        <f>ROUND(SUM(G37:W37),5)</f>
        <v>0</v>
      </c>
      <c r="Y37" s="71">
        <f>ROUND(SUM(Y35:Y36),5)</f>
        <v>0</v>
      </c>
      <c r="Z37" s="71">
        <f>ROUND(SUM(Z35:Z36),5)</f>
        <v>0</v>
      </c>
      <c r="AA37" s="72"/>
    </row>
    <row r="38" spans="1:29" hidden="1" x14ac:dyDescent="0.3">
      <c r="A38" s="50"/>
      <c r="B38" s="50" t="s">
        <v>104</v>
      </c>
      <c r="C38" s="50"/>
      <c r="D38" s="50"/>
      <c r="E38" s="50"/>
      <c r="F38" s="50"/>
      <c r="G38" s="51"/>
      <c r="H38" s="51"/>
      <c r="I38" s="51"/>
      <c r="J38" s="51"/>
      <c r="K38" s="51">
        <f t="shared" ref="K38:V38" si="8">ROUND(K34-K37,5)</f>
        <v>19157.96</v>
      </c>
      <c r="L38" s="51">
        <f t="shared" si="8"/>
        <v>32762.26</v>
      </c>
      <c r="M38" s="51">
        <f t="shared" si="8"/>
        <v>38581.82</v>
      </c>
      <c r="N38" s="51">
        <f t="shared" si="8"/>
        <v>91690.13</v>
      </c>
      <c r="O38" s="51">
        <f t="shared" si="8"/>
        <v>19284.080000000002</v>
      </c>
      <c r="P38" s="51">
        <f t="shared" si="8"/>
        <v>247789.42</v>
      </c>
      <c r="Q38" s="51">
        <f t="shared" si="8"/>
        <v>256344.78</v>
      </c>
      <c r="R38" s="51">
        <f t="shared" si="8"/>
        <v>59246.37</v>
      </c>
      <c r="S38" s="51">
        <f t="shared" si="8"/>
        <v>65460.81</v>
      </c>
      <c r="T38" s="51">
        <f t="shared" si="8"/>
        <v>97264.65</v>
      </c>
      <c r="U38" s="51">
        <f t="shared" si="8"/>
        <v>222938.27</v>
      </c>
      <c r="V38" s="51">
        <f t="shared" si="8"/>
        <v>114688.35</v>
      </c>
      <c r="W38" s="51"/>
      <c r="X38" s="67">
        <f>ROUND(SUM(G38:W38),5)</f>
        <v>1265208.8999999999</v>
      </c>
      <c r="Y38" s="67">
        <f>ROUND(Y34-Y37,5)</f>
        <v>1078800</v>
      </c>
      <c r="Z38" s="67">
        <f>ROUND(Z34-Z37,5)</f>
        <v>1201000</v>
      </c>
      <c r="AA38" s="68"/>
    </row>
    <row r="39" spans="1:29" x14ac:dyDescent="0.3">
      <c r="A39" s="50"/>
      <c r="B39" s="50"/>
      <c r="C39" s="50" t="s">
        <v>4</v>
      </c>
      <c r="D39" s="50"/>
      <c r="E39" s="50"/>
      <c r="F39" s="50"/>
      <c r="G39" s="51"/>
      <c r="H39" s="51"/>
      <c r="I39" s="51"/>
      <c r="J39" s="51"/>
      <c r="K39" s="51"/>
      <c r="L39" s="51"/>
      <c r="M39" s="51"/>
      <c r="N39" s="51"/>
      <c r="O39" s="51"/>
      <c r="P39" s="51"/>
      <c r="Q39" s="51"/>
      <c r="R39" s="51"/>
      <c r="S39" s="51"/>
      <c r="T39" s="51"/>
      <c r="U39" s="51"/>
      <c r="V39" s="51"/>
      <c r="W39" s="51"/>
      <c r="X39" s="67"/>
      <c r="Y39" s="67"/>
      <c r="Z39" s="67"/>
      <c r="AA39" s="68"/>
    </row>
    <row r="40" spans="1:29" x14ac:dyDescent="0.3">
      <c r="A40" s="50"/>
      <c r="B40" s="50"/>
      <c r="C40" s="50"/>
      <c r="D40" s="50" t="s">
        <v>105</v>
      </c>
      <c r="E40" s="50"/>
      <c r="F40" s="50"/>
      <c r="G40" s="51"/>
      <c r="H40" s="51"/>
      <c r="I40" s="51"/>
      <c r="J40" s="51"/>
      <c r="K40" s="51"/>
      <c r="L40" s="51"/>
      <c r="M40" s="51"/>
      <c r="N40" s="51"/>
      <c r="O40" s="51"/>
      <c r="P40" s="51"/>
      <c r="Q40" s="51"/>
      <c r="R40" s="51"/>
      <c r="S40" s="51"/>
      <c r="T40" s="51"/>
      <c r="U40" s="51"/>
      <c r="V40" s="51"/>
      <c r="W40" s="51"/>
      <c r="X40" s="67"/>
      <c r="Y40" s="67"/>
      <c r="Z40" s="67"/>
      <c r="AA40" s="68"/>
    </row>
    <row r="41" spans="1:29" x14ac:dyDescent="0.3">
      <c r="A41" s="50"/>
      <c r="B41" s="50"/>
      <c r="C41" s="50"/>
      <c r="D41" s="50"/>
      <c r="E41" s="50" t="s">
        <v>106</v>
      </c>
      <c r="F41" s="50"/>
      <c r="G41" s="51"/>
      <c r="H41" s="51"/>
      <c r="I41" s="51"/>
      <c r="J41" s="51"/>
      <c r="K41" s="51"/>
      <c r="L41" s="51"/>
      <c r="M41" s="51"/>
      <c r="N41" s="51"/>
      <c r="O41" s="51"/>
      <c r="P41" s="51"/>
      <c r="Q41" s="51"/>
      <c r="R41" s="51"/>
      <c r="S41" s="51"/>
      <c r="T41" s="51"/>
      <c r="U41" s="51"/>
      <c r="V41" s="51"/>
      <c r="W41" s="51"/>
      <c r="X41" s="67"/>
      <c r="Y41" s="67"/>
      <c r="Z41" s="67"/>
      <c r="AA41" s="68"/>
    </row>
    <row r="42" spans="1:29" x14ac:dyDescent="0.3">
      <c r="A42" s="50"/>
      <c r="B42" s="50"/>
      <c r="C42" s="50"/>
      <c r="D42" s="50"/>
      <c r="E42" s="50"/>
      <c r="F42" s="50" t="s">
        <v>107</v>
      </c>
      <c r="G42" s="51"/>
      <c r="H42" s="51"/>
      <c r="I42" s="51"/>
      <c r="J42" s="51"/>
      <c r="K42" s="51">
        <v>8942.48</v>
      </c>
      <c r="L42" s="51">
        <v>16476.650000000001</v>
      </c>
      <c r="M42" s="51">
        <v>17665.79</v>
      </c>
      <c r="N42" s="51">
        <v>27986.11</v>
      </c>
      <c r="O42" s="51">
        <v>14362.23</v>
      </c>
      <c r="P42" s="51">
        <v>14423.56</v>
      </c>
      <c r="Q42" s="51">
        <v>24698.48</v>
      </c>
      <c r="R42" s="51">
        <v>16746.79</v>
      </c>
      <c r="S42" s="51">
        <v>16868.52</v>
      </c>
      <c r="T42" s="51">
        <v>25401.13</v>
      </c>
      <c r="U42" s="51">
        <v>26898.32</v>
      </c>
      <c r="V42" s="51">
        <v>21343.49</v>
      </c>
      <c r="W42" s="51"/>
      <c r="X42" s="67">
        <f t="shared" ref="X42:X47" si="9">ROUND(SUM(G42:W42),5)</f>
        <v>231813.55</v>
      </c>
      <c r="Y42" s="67">
        <v>235000</v>
      </c>
      <c r="Z42" s="67">
        <v>281000</v>
      </c>
      <c r="AA42" s="68" t="s">
        <v>207</v>
      </c>
    </row>
    <row r="43" spans="1:29" x14ac:dyDescent="0.3">
      <c r="A43" s="50"/>
      <c r="B43" s="50"/>
      <c r="C43" s="50"/>
      <c r="D43" s="50"/>
      <c r="E43" s="50"/>
      <c r="F43" s="50" t="s">
        <v>212</v>
      </c>
      <c r="G43" s="51"/>
      <c r="H43" s="51"/>
      <c r="I43" s="51"/>
      <c r="J43" s="51"/>
      <c r="K43" s="51">
        <v>0</v>
      </c>
      <c r="L43" s="51">
        <v>0</v>
      </c>
      <c r="M43" s="51">
        <v>0</v>
      </c>
      <c r="N43" s="51">
        <v>0</v>
      </c>
      <c r="O43" s="51">
        <v>0</v>
      </c>
      <c r="P43" s="51">
        <v>0</v>
      </c>
      <c r="Q43" s="51">
        <v>0</v>
      </c>
      <c r="R43" s="51">
        <v>0</v>
      </c>
      <c r="S43" s="51">
        <v>0</v>
      </c>
      <c r="T43" s="51">
        <v>0</v>
      </c>
      <c r="U43" s="51">
        <v>0</v>
      </c>
      <c r="V43" s="51">
        <v>0</v>
      </c>
      <c r="W43" s="51"/>
      <c r="X43" s="67">
        <f t="shared" si="9"/>
        <v>0</v>
      </c>
      <c r="Y43" s="67">
        <v>43680</v>
      </c>
      <c r="Z43" s="67">
        <v>43680</v>
      </c>
      <c r="AA43" s="68" t="s">
        <v>245</v>
      </c>
    </row>
    <row r="44" spans="1:29" x14ac:dyDescent="0.3">
      <c r="A44" s="50"/>
      <c r="B44" s="50"/>
      <c r="C44" s="50"/>
      <c r="D44" s="50"/>
      <c r="E44" s="50"/>
      <c r="F44" s="50" t="s">
        <v>108</v>
      </c>
      <c r="G44" s="51"/>
      <c r="H44" s="51"/>
      <c r="I44" s="51"/>
      <c r="J44" s="51"/>
      <c r="K44" s="51">
        <v>0</v>
      </c>
      <c r="L44" s="51">
        <v>0</v>
      </c>
      <c r="M44" s="51">
        <v>0</v>
      </c>
      <c r="N44" s="51">
        <v>0</v>
      </c>
      <c r="O44" s="51">
        <v>0</v>
      </c>
      <c r="P44" s="51">
        <v>3986.45</v>
      </c>
      <c r="Q44" s="51">
        <v>0</v>
      </c>
      <c r="R44" s="51">
        <v>0</v>
      </c>
      <c r="S44" s="51">
        <v>0</v>
      </c>
      <c r="T44" s="51">
        <v>6572.5</v>
      </c>
      <c r="U44" s="51">
        <v>0</v>
      </c>
      <c r="V44" s="51">
        <v>0</v>
      </c>
      <c r="W44" s="51"/>
      <c r="X44" s="67">
        <f t="shared" si="9"/>
        <v>10558.95</v>
      </c>
      <c r="Y44" s="67">
        <v>4500</v>
      </c>
      <c r="Z44" s="67">
        <v>5000</v>
      </c>
      <c r="AA44" s="68" t="s">
        <v>207</v>
      </c>
    </row>
    <row r="45" spans="1:29" x14ac:dyDescent="0.3">
      <c r="A45" s="50"/>
      <c r="B45" s="50"/>
      <c r="C45" s="50"/>
      <c r="D45" s="50"/>
      <c r="E45" s="50"/>
      <c r="F45" s="50" t="s">
        <v>237</v>
      </c>
      <c r="G45" s="51"/>
      <c r="H45" s="51"/>
      <c r="I45" s="51"/>
      <c r="J45" s="51"/>
      <c r="K45" s="51">
        <v>0</v>
      </c>
      <c r="L45" s="51">
        <v>0</v>
      </c>
      <c r="M45" s="51">
        <v>0</v>
      </c>
      <c r="N45" s="51">
        <v>0</v>
      </c>
      <c r="O45" s="51">
        <v>0</v>
      </c>
      <c r="P45" s="51">
        <v>0</v>
      </c>
      <c r="Q45" s="51">
        <v>0</v>
      </c>
      <c r="R45" s="51">
        <v>0</v>
      </c>
      <c r="S45" s="51">
        <v>0</v>
      </c>
      <c r="T45" s="51">
        <v>0</v>
      </c>
      <c r="U45" s="51">
        <v>0</v>
      </c>
      <c r="V45" s="51">
        <v>0</v>
      </c>
      <c r="W45" s="51"/>
      <c r="X45" s="67">
        <f t="shared" si="9"/>
        <v>0</v>
      </c>
      <c r="Y45" s="67">
        <v>5100</v>
      </c>
      <c r="Z45" s="67">
        <v>5500</v>
      </c>
      <c r="AA45" s="68" t="s">
        <v>207</v>
      </c>
    </row>
    <row r="46" spans="1:29" ht="15" thickBot="1" x14ac:dyDescent="0.35">
      <c r="A46" s="50"/>
      <c r="B46" s="50"/>
      <c r="C46" s="50"/>
      <c r="D46" s="50"/>
      <c r="E46" s="50"/>
      <c r="F46" s="50" t="s">
        <v>109</v>
      </c>
      <c r="G46" s="52"/>
      <c r="H46" s="52"/>
      <c r="I46" s="52"/>
      <c r="J46" s="52"/>
      <c r="K46" s="52">
        <v>35.64</v>
      </c>
      <c r="L46" s="52">
        <v>35.64</v>
      </c>
      <c r="M46" s="52">
        <v>35.64</v>
      </c>
      <c r="N46" s="52">
        <v>35.64</v>
      </c>
      <c r="O46" s="52">
        <v>35.64</v>
      </c>
      <c r="P46" s="52">
        <v>35.64</v>
      </c>
      <c r="Q46" s="52">
        <v>35.64</v>
      </c>
      <c r="R46" s="52">
        <v>35.64</v>
      </c>
      <c r="S46" s="52">
        <v>35.64</v>
      </c>
      <c r="T46" s="52">
        <v>35.64</v>
      </c>
      <c r="U46" s="52">
        <v>35.64</v>
      </c>
      <c r="V46" s="52">
        <v>35.64</v>
      </c>
      <c r="W46" s="52"/>
      <c r="X46" s="69">
        <f t="shared" si="9"/>
        <v>427.68</v>
      </c>
      <c r="Y46" s="69">
        <v>450</v>
      </c>
      <c r="Z46" s="69">
        <v>450</v>
      </c>
      <c r="AA46" s="70"/>
    </row>
    <row r="47" spans="1:29" x14ac:dyDescent="0.3">
      <c r="A47" s="50"/>
      <c r="B47" s="50"/>
      <c r="C47" s="50"/>
      <c r="D47" s="50"/>
      <c r="E47" s="50" t="s">
        <v>110</v>
      </c>
      <c r="F47" s="50"/>
      <c r="G47" s="51"/>
      <c r="H47" s="51"/>
      <c r="I47" s="51"/>
      <c r="J47" s="51"/>
      <c r="K47" s="51">
        <f t="shared" ref="K47:V47" si="10">ROUND(SUM(K41:K46),5)</f>
        <v>8978.1200000000008</v>
      </c>
      <c r="L47" s="51">
        <f t="shared" si="10"/>
        <v>16512.29</v>
      </c>
      <c r="M47" s="51">
        <f t="shared" si="10"/>
        <v>17701.43</v>
      </c>
      <c r="N47" s="51">
        <f t="shared" si="10"/>
        <v>28021.75</v>
      </c>
      <c r="O47" s="51">
        <f t="shared" si="10"/>
        <v>14397.87</v>
      </c>
      <c r="P47" s="51">
        <f t="shared" si="10"/>
        <v>18445.650000000001</v>
      </c>
      <c r="Q47" s="51">
        <f t="shared" si="10"/>
        <v>24734.12</v>
      </c>
      <c r="R47" s="51">
        <f t="shared" si="10"/>
        <v>16782.43</v>
      </c>
      <c r="S47" s="51">
        <f t="shared" si="10"/>
        <v>16904.16</v>
      </c>
      <c r="T47" s="51">
        <f t="shared" si="10"/>
        <v>32009.27</v>
      </c>
      <c r="U47" s="51">
        <f t="shared" si="10"/>
        <v>26933.96</v>
      </c>
      <c r="V47" s="51">
        <f t="shared" si="10"/>
        <v>21379.13</v>
      </c>
      <c r="W47" s="51"/>
      <c r="X47" s="67">
        <f t="shared" si="9"/>
        <v>242800.18</v>
      </c>
      <c r="Y47" s="67">
        <f>ROUND(SUM(Y41:Y46),5)</f>
        <v>288730</v>
      </c>
      <c r="Z47" s="67">
        <f>ROUND(SUM(Z41:Z46),5)</f>
        <v>335630</v>
      </c>
      <c r="AA47" s="68"/>
      <c r="AC47" s="67"/>
    </row>
    <row r="48" spans="1:29" x14ac:dyDescent="0.3">
      <c r="A48" s="50"/>
      <c r="B48" s="50"/>
      <c r="C48" s="50"/>
      <c r="D48" s="50"/>
      <c r="E48" s="50"/>
      <c r="F48" s="50"/>
      <c r="G48" s="51"/>
      <c r="H48" s="51"/>
      <c r="I48" s="51"/>
      <c r="J48" s="51"/>
      <c r="K48" s="51"/>
      <c r="L48" s="51"/>
      <c r="M48" s="51"/>
      <c r="N48" s="51"/>
      <c r="O48" s="51"/>
      <c r="P48" s="51"/>
      <c r="Q48" s="51"/>
      <c r="R48" s="51"/>
      <c r="S48" s="51"/>
      <c r="T48" s="51"/>
      <c r="U48" s="51"/>
      <c r="V48" s="51"/>
      <c r="W48" s="51"/>
      <c r="X48" s="67"/>
      <c r="Y48" s="67"/>
      <c r="Z48" s="67"/>
      <c r="AA48" s="68"/>
    </row>
    <row r="49" spans="1:27" x14ac:dyDescent="0.3">
      <c r="A49" s="50"/>
      <c r="B49" s="50"/>
      <c r="C49" s="50"/>
      <c r="D49" s="50"/>
      <c r="E49" s="50"/>
      <c r="F49" s="50"/>
      <c r="G49" s="51"/>
      <c r="H49" s="51"/>
      <c r="I49" s="51"/>
      <c r="J49" s="51"/>
      <c r="K49" s="51"/>
      <c r="L49" s="51"/>
      <c r="M49" s="51"/>
      <c r="N49" s="51"/>
      <c r="O49" s="51"/>
      <c r="P49" s="51"/>
      <c r="Q49" s="51"/>
      <c r="R49" s="51"/>
      <c r="S49" s="51"/>
      <c r="T49" s="51"/>
      <c r="U49" s="51"/>
      <c r="V49" s="51"/>
      <c r="W49" s="51"/>
      <c r="X49" s="67"/>
      <c r="Y49" s="67"/>
      <c r="Z49" s="67"/>
      <c r="AA49" s="68"/>
    </row>
    <row r="50" spans="1:27" x14ac:dyDescent="0.3">
      <c r="A50" s="50"/>
      <c r="B50" s="50"/>
      <c r="C50" s="50"/>
      <c r="D50" s="50"/>
      <c r="E50" s="50" t="s">
        <v>111</v>
      </c>
      <c r="F50" s="50"/>
      <c r="G50" s="51"/>
      <c r="H50" s="51"/>
      <c r="I50" s="51"/>
      <c r="J50" s="51"/>
      <c r="K50" s="51"/>
      <c r="L50" s="51"/>
      <c r="M50" s="51"/>
      <c r="N50" s="51"/>
      <c r="O50" s="51"/>
      <c r="P50" s="51"/>
      <c r="Q50" s="51"/>
      <c r="R50" s="51"/>
      <c r="S50" s="51"/>
      <c r="T50" s="51"/>
      <c r="U50" s="51"/>
      <c r="V50" s="51"/>
      <c r="W50" s="51"/>
      <c r="X50" s="67"/>
      <c r="Y50" s="67"/>
      <c r="Z50" s="67"/>
      <c r="AA50" s="68"/>
    </row>
    <row r="51" spans="1:27" x14ac:dyDescent="0.3">
      <c r="A51" s="50"/>
      <c r="B51" s="50"/>
      <c r="C51" s="50"/>
      <c r="D51" s="50"/>
      <c r="E51" s="50"/>
      <c r="F51" s="50" t="s">
        <v>112</v>
      </c>
      <c r="G51" s="51"/>
      <c r="H51" s="51"/>
      <c r="I51" s="51"/>
      <c r="J51" s="51"/>
      <c r="K51" s="51">
        <v>1292.3</v>
      </c>
      <c r="L51" s="51">
        <v>1764.12</v>
      </c>
      <c r="M51" s="51">
        <v>589.02</v>
      </c>
      <c r="N51" s="51">
        <v>2195.9699999999998</v>
      </c>
      <c r="O51" s="51">
        <v>1217.4100000000001</v>
      </c>
      <c r="P51" s="51">
        <v>1220.48</v>
      </c>
      <c r="Q51" s="51">
        <v>1228.23</v>
      </c>
      <c r="R51" s="51">
        <v>1225.46</v>
      </c>
      <c r="S51" s="51">
        <v>1234.52</v>
      </c>
      <c r="T51" s="51">
        <v>1839.28</v>
      </c>
      <c r="U51" s="51">
        <v>1239.45</v>
      </c>
      <c r="V51" s="51">
        <v>1365.34</v>
      </c>
      <c r="W51" s="51"/>
      <c r="X51" s="67">
        <f>ROUND(SUM(G51:W51),5)</f>
        <v>16411.580000000002</v>
      </c>
      <c r="Y51" s="67">
        <v>16100</v>
      </c>
      <c r="Z51" s="67">
        <v>21000</v>
      </c>
      <c r="AA51" s="68" t="s">
        <v>207</v>
      </c>
    </row>
    <row r="52" spans="1:27" ht="15" thickBot="1" x14ac:dyDescent="0.35">
      <c r="A52" s="50"/>
      <c r="B52" s="50"/>
      <c r="C52" s="50"/>
      <c r="D52" s="50"/>
      <c r="E52" s="50"/>
      <c r="F52" s="50" t="s">
        <v>113</v>
      </c>
      <c r="G52" s="52"/>
      <c r="H52" s="52"/>
      <c r="I52" s="52"/>
      <c r="J52" s="52"/>
      <c r="K52" s="52">
        <v>126.98</v>
      </c>
      <c r="L52" s="52">
        <v>589.03</v>
      </c>
      <c r="M52" s="52">
        <v>-589.03</v>
      </c>
      <c r="N52" s="52">
        <v>0</v>
      </c>
      <c r="O52" s="52">
        <v>0</v>
      </c>
      <c r="P52" s="52">
        <v>0</v>
      </c>
      <c r="Q52" s="52">
        <v>0</v>
      </c>
      <c r="R52" s="52">
        <v>0</v>
      </c>
      <c r="S52" s="52">
        <v>0</v>
      </c>
      <c r="T52" s="52">
        <v>0</v>
      </c>
      <c r="U52" s="52">
        <v>0</v>
      </c>
      <c r="V52" s="52">
        <v>-126.98</v>
      </c>
      <c r="W52" s="52"/>
      <c r="X52" s="69">
        <f>ROUND(SUM(G52:W52),5)</f>
        <v>0</v>
      </c>
      <c r="Y52" s="69">
        <v>0</v>
      </c>
      <c r="Z52" s="69">
        <v>0</v>
      </c>
      <c r="AA52" s="70"/>
    </row>
    <row r="53" spans="1:27" x14ac:dyDescent="0.3">
      <c r="A53" s="50"/>
      <c r="B53" s="50"/>
      <c r="C53" s="50"/>
      <c r="D53" s="50"/>
      <c r="E53" s="50" t="s">
        <v>114</v>
      </c>
      <c r="F53" s="50"/>
      <c r="G53" s="51"/>
      <c r="H53" s="51"/>
      <c r="I53" s="51"/>
      <c r="J53" s="51"/>
      <c r="K53" s="51">
        <f t="shared" ref="K53:V53" si="11">ROUND(SUM(K50:K52),5)</f>
        <v>1419.28</v>
      </c>
      <c r="L53" s="51">
        <f t="shared" si="11"/>
        <v>2353.15</v>
      </c>
      <c r="M53" s="51">
        <f t="shared" si="11"/>
        <v>-0.01</v>
      </c>
      <c r="N53" s="51">
        <f t="shared" si="11"/>
        <v>2195.9699999999998</v>
      </c>
      <c r="O53" s="51">
        <f t="shared" si="11"/>
        <v>1217.4100000000001</v>
      </c>
      <c r="P53" s="51">
        <f t="shared" si="11"/>
        <v>1220.48</v>
      </c>
      <c r="Q53" s="51">
        <f t="shared" si="11"/>
        <v>1228.23</v>
      </c>
      <c r="R53" s="51">
        <f t="shared" si="11"/>
        <v>1225.46</v>
      </c>
      <c r="S53" s="51">
        <f t="shared" si="11"/>
        <v>1234.52</v>
      </c>
      <c r="T53" s="51">
        <f t="shared" si="11"/>
        <v>1839.28</v>
      </c>
      <c r="U53" s="51">
        <f t="shared" si="11"/>
        <v>1239.45</v>
      </c>
      <c r="V53" s="51">
        <f t="shared" si="11"/>
        <v>1238.3599999999999</v>
      </c>
      <c r="W53" s="51"/>
      <c r="X53" s="67">
        <f>ROUND(SUM(G53:W53),5)</f>
        <v>16411.580000000002</v>
      </c>
      <c r="Y53" s="67">
        <f>ROUND(SUM(Y50:Y52),5)</f>
        <v>16100</v>
      </c>
      <c r="Z53" s="67">
        <f>ROUND(SUM(Z50:Z52),5)</f>
        <v>21000</v>
      </c>
      <c r="AA53" s="68"/>
    </row>
    <row r="54" spans="1:27" x14ac:dyDescent="0.3">
      <c r="A54" s="50"/>
      <c r="B54" s="50"/>
      <c r="C54" s="50"/>
      <c r="D54" s="50"/>
      <c r="E54" s="50" t="s">
        <v>115</v>
      </c>
      <c r="F54" s="50"/>
      <c r="G54" s="51"/>
      <c r="H54" s="51"/>
      <c r="I54" s="51"/>
      <c r="J54" s="51"/>
      <c r="K54" s="51"/>
      <c r="L54" s="51"/>
      <c r="M54" s="51"/>
      <c r="N54" s="51"/>
      <c r="O54" s="51"/>
      <c r="P54" s="51"/>
      <c r="Q54" s="51"/>
      <c r="R54" s="51"/>
      <c r="S54" s="51"/>
      <c r="T54" s="51"/>
      <c r="U54" s="51"/>
      <c r="V54" s="51"/>
      <c r="W54" s="51"/>
      <c r="X54" s="67"/>
      <c r="Y54" s="67"/>
      <c r="Z54" s="67"/>
      <c r="AA54" s="68"/>
    </row>
    <row r="55" spans="1:27" ht="21.6" x14ac:dyDescent="0.3">
      <c r="A55" s="50"/>
      <c r="B55" s="50"/>
      <c r="C55" s="50"/>
      <c r="D55" s="50"/>
      <c r="E55" s="50"/>
      <c r="F55" s="50" t="s">
        <v>116</v>
      </c>
      <c r="G55" s="51"/>
      <c r="H55" s="51"/>
      <c r="I55" s="51"/>
      <c r="J55" s="51"/>
      <c r="K55" s="51">
        <v>559.08000000000004</v>
      </c>
      <c r="L55" s="51">
        <v>1068.06</v>
      </c>
      <c r="M55" s="51">
        <v>1141.78</v>
      </c>
      <c r="N55" s="51">
        <v>1828.14</v>
      </c>
      <c r="O55" s="51">
        <v>890.47</v>
      </c>
      <c r="P55" s="51">
        <v>1187.93</v>
      </c>
      <c r="Q55" s="51">
        <v>1531.32</v>
      </c>
      <c r="R55" s="51">
        <v>1084.8</v>
      </c>
      <c r="S55" s="51">
        <v>1092.3599999999999</v>
      </c>
      <c r="T55" s="51">
        <v>2075.37</v>
      </c>
      <c r="U55" s="51">
        <v>1667.7</v>
      </c>
      <c r="V55" s="51">
        <v>1411.65</v>
      </c>
      <c r="W55" s="51"/>
      <c r="X55" s="67">
        <f>ROUND(SUM(G55:W55),5)</f>
        <v>15538.66</v>
      </c>
      <c r="Y55" s="67">
        <v>19000</v>
      </c>
      <c r="Z55" s="67">
        <f>ROUND((Z42+Z44+Z45+Z93)*0.062,0)</f>
        <v>18771</v>
      </c>
      <c r="AA55" s="68" t="s">
        <v>208</v>
      </c>
    </row>
    <row r="56" spans="1:27" ht="22.2" thickBot="1" x14ac:dyDescent="0.35">
      <c r="A56" s="50"/>
      <c r="B56" s="50"/>
      <c r="C56" s="50"/>
      <c r="D56" s="50"/>
      <c r="E56" s="50"/>
      <c r="F56" s="50" t="s">
        <v>117</v>
      </c>
      <c r="G56" s="52"/>
      <c r="H56" s="52"/>
      <c r="I56" s="52"/>
      <c r="J56" s="52"/>
      <c r="K56" s="52">
        <v>130.76</v>
      </c>
      <c r="L56" s="52">
        <v>249.81</v>
      </c>
      <c r="M56" s="52">
        <v>267.06</v>
      </c>
      <c r="N56" s="52">
        <v>427.6</v>
      </c>
      <c r="O56" s="52">
        <v>208.26</v>
      </c>
      <c r="P56" s="52">
        <v>277.83999999999997</v>
      </c>
      <c r="Q56" s="52">
        <v>358.11</v>
      </c>
      <c r="R56" s="52">
        <v>253.72</v>
      </c>
      <c r="S56" s="52">
        <v>255.51</v>
      </c>
      <c r="T56" s="52">
        <v>485.42</v>
      </c>
      <c r="U56" s="52">
        <v>390.03</v>
      </c>
      <c r="V56" s="52">
        <v>330.2</v>
      </c>
      <c r="W56" s="52"/>
      <c r="X56" s="69">
        <f>ROUND(SUM(G56:W56),5)</f>
        <v>3634.32</v>
      </c>
      <c r="Y56" s="69">
        <v>4000</v>
      </c>
      <c r="Z56" s="69">
        <f>ROUND((Z42+Z44+Z45+Z93)*0.0145,0)</f>
        <v>4390</v>
      </c>
      <c r="AA56" s="70" t="s">
        <v>208</v>
      </c>
    </row>
    <row r="57" spans="1:27" x14ac:dyDescent="0.3">
      <c r="A57" s="50"/>
      <c r="B57" s="50"/>
      <c r="C57" s="50"/>
      <c r="D57" s="50"/>
      <c r="E57" s="50" t="s">
        <v>118</v>
      </c>
      <c r="F57" s="50"/>
      <c r="G57" s="51"/>
      <c r="H57" s="51"/>
      <c r="I57" s="51"/>
      <c r="J57" s="51"/>
      <c r="K57" s="51">
        <f t="shared" ref="K57:V57" si="12">ROUND(SUM(K54:K56),5)</f>
        <v>689.84</v>
      </c>
      <c r="L57" s="51">
        <f t="shared" si="12"/>
        <v>1317.87</v>
      </c>
      <c r="M57" s="51">
        <f t="shared" si="12"/>
        <v>1408.84</v>
      </c>
      <c r="N57" s="51">
        <f t="shared" si="12"/>
        <v>2255.7399999999998</v>
      </c>
      <c r="O57" s="51">
        <f t="shared" si="12"/>
        <v>1098.73</v>
      </c>
      <c r="P57" s="51">
        <f t="shared" si="12"/>
        <v>1465.77</v>
      </c>
      <c r="Q57" s="51">
        <f t="shared" si="12"/>
        <v>1889.43</v>
      </c>
      <c r="R57" s="51">
        <f t="shared" si="12"/>
        <v>1338.52</v>
      </c>
      <c r="S57" s="51">
        <f t="shared" si="12"/>
        <v>1347.87</v>
      </c>
      <c r="T57" s="51">
        <f t="shared" si="12"/>
        <v>2560.79</v>
      </c>
      <c r="U57" s="51">
        <f t="shared" si="12"/>
        <v>2057.73</v>
      </c>
      <c r="V57" s="51">
        <f t="shared" si="12"/>
        <v>1741.85</v>
      </c>
      <c r="W57" s="51"/>
      <c r="X57" s="67">
        <f>ROUND(SUM(G57:W57),5)</f>
        <v>19172.98</v>
      </c>
      <c r="Y57" s="67">
        <f>ROUND(SUM(Y54:Y56),5)</f>
        <v>23000</v>
      </c>
      <c r="Z57" s="67">
        <f>ROUND(SUM(Z54:Z56),5)</f>
        <v>23161</v>
      </c>
      <c r="AA57" s="68"/>
    </row>
    <row r="58" spans="1:27" x14ac:dyDescent="0.3">
      <c r="A58" s="50"/>
      <c r="B58" s="50"/>
      <c r="C58" s="50"/>
      <c r="D58" s="50"/>
      <c r="E58" s="50" t="s">
        <v>119</v>
      </c>
      <c r="F58" s="50"/>
      <c r="G58" s="51"/>
      <c r="H58" s="51"/>
      <c r="I58" s="51"/>
      <c r="J58" s="51"/>
      <c r="K58" s="51"/>
      <c r="L58" s="51"/>
      <c r="M58" s="51"/>
      <c r="N58" s="51"/>
      <c r="O58" s="51"/>
      <c r="P58" s="51"/>
      <c r="Q58" s="51"/>
      <c r="R58" s="51"/>
      <c r="S58" s="51"/>
      <c r="T58" s="51"/>
      <c r="U58" s="51"/>
      <c r="V58" s="51"/>
      <c r="W58" s="51"/>
      <c r="X58" s="67"/>
      <c r="Y58" s="67"/>
      <c r="Z58" s="67"/>
      <c r="AA58" s="68"/>
    </row>
    <row r="59" spans="1:27" x14ac:dyDescent="0.3">
      <c r="A59" s="50"/>
      <c r="B59" s="50"/>
      <c r="C59" s="50"/>
      <c r="D59" s="50"/>
      <c r="E59" s="50"/>
      <c r="F59" s="50" t="s">
        <v>120</v>
      </c>
      <c r="G59" s="51"/>
      <c r="H59" s="51"/>
      <c r="I59" s="51"/>
      <c r="J59" s="51"/>
      <c r="K59" s="51">
        <v>3878.65</v>
      </c>
      <c r="L59" s="51">
        <v>3212.66</v>
      </c>
      <c r="M59" s="51">
        <v>0</v>
      </c>
      <c r="N59" s="51">
        <v>3212.66</v>
      </c>
      <c r="O59" s="51">
        <v>3212.66</v>
      </c>
      <c r="P59" s="51">
        <v>3212.66</v>
      </c>
      <c r="Q59" s="51">
        <v>3254.09</v>
      </c>
      <c r="R59" s="51">
        <v>3254.09</v>
      </c>
      <c r="S59" s="51">
        <v>4596.99</v>
      </c>
      <c r="T59" s="51">
        <v>3925.54</v>
      </c>
      <c r="U59" s="51">
        <v>5212.17</v>
      </c>
      <c r="V59" s="51">
        <v>8800.1</v>
      </c>
      <c r="W59" s="51"/>
      <c r="X59" s="67">
        <f>ROUND(SUM(G59:W59),5)</f>
        <v>45772.27</v>
      </c>
      <c r="Y59" s="67">
        <v>60000</v>
      </c>
      <c r="Z59" s="67">
        <v>60000</v>
      </c>
      <c r="AA59" s="68" t="s">
        <v>207</v>
      </c>
    </row>
    <row r="60" spans="1:27" x14ac:dyDescent="0.3">
      <c r="A60" s="50"/>
      <c r="B60" s="50"/>
      <c r="C60" s="50"/>
      <c r="D60" s="50"/>
      <c r="E60" s="50"/>
      <c r="F60" s="50" t="s">
        <v>121</v>
      </c>
      <c r="G60" s="51"/>
      <c r="H60" s="51"/>
      <c r="I60" s="51"/>
      <c r="J60" s="51"/>
      <c r="K60" s="51">
        <v>46.72</v>
      </c>
      <c r="L60" s="51">
        <v>40.33</v>
      </c>
      <c r="M60" s="51">
        <v>40.33</v>
      </c>
      <c r="N60" s="51">
        <v>40.33</v>
      </c>
      <c r="O60" s="51">
        <v>40.33</v>
      </c>
      <c r="P60" s="51">
        <v>40.33</v>
      </c>
      <c r="Q60" s="51">
        <v>49.23</v>
      </c>
      <c r="R60" s="51">
        <v>0</v>
      </c>
      <c r="S60" s="51">
        <v>98.46</v>
      </c>
      <c r="T60" s="51">
        <v>49.23</v>
      </c>
      <c r="U60" s="51">
        <v>65.28</v>
      </c>
      <c r="V60" s="51">
        <v>112</v>
      </c>
      <c r="W60" s="51"/>
      <c r="X60" s="67">
        <f>ROUND(SUM(G60:W60),5)</f>
        <v>622.57000000000005</v>
      </c>
      <c r="Y60" s="67">
        <v>850</v>
      </c>
      <c r="Z60" s="67">
        <v>1000</v>
      </c>
      <c r="AA60" s="68" t="s">
        <v>207</v>
      </c>
    </row>
    <row r="61" spans="1:27" ht="15" thickBot="1" x14ac:dyDescent="0.35">
      <c r="A61" s="50"/>
      <c r="B61" s="50"/>
      <c r="C61" s="50"/>
      <c r="D61" s="50"/>
      <c r="E61" s="50"/>
      <c r="F61" s="50" t="s">
        <v>122</v>
      </c>
      <c r="G61" s="52"/>
      <c r="H61" s="52"/>
      <c r="I61" s="52"/>
      <c r="J61" s="52"/>
      <c r="K61" s="52">
        <v>332.36</v>
      </c>
      <c r="L61" s="52">
        <v>272.48</v>
      </c>
      <c r="M61" s="52">
        <v>272.48</v>
      </c>
      <c r="N61" s="52">
        <v>272.48</v>
      </c>
      <c r="O61" s="52">
        <v>272.48</v>
      </c>
      <c r="P61" s="52">
        <v>272.48</v>
      </c>
      <c r="Q61" s="52">
        <v>332.36</v>
      </c>
      <c r="R61" s="52">
        <v>0</v>
      </c>
      <c r="S61" s="52">
        <v>664.72</v>
      </c>
      <c r="T61" s="52">
        <v>332.36</v>
      </c>
      <c r="U61" s="52">
        <v>447.04</v>
      </c>
      <c r="V61" s="52">
        <v>429.76</v>
      </c>
      <c r="W61" s="52"/>
      <c r="X61" s="69">
        <f>ROUND(SUM(G61:W61),5)</f>
        <v>3901</v>
      </c>
      <c r="Y61" s="69">
        <v>4100</v>
      </c>
      <c r="Z61" s="69">
        <v>3800</v>
      </c>
      <c r="AA61" s="70" t="s">
        <v>207</v>
      </c>
    </row>
    <row r="62" spans="1:27" x14ac:dyDescent="0.3">
      <c r="A62" s="50"/>
      <c r="B62" s="50"/>
      <c r="C62" s="50"/>
      <c r="D62" s="50"/>
      <c r="E62" s="50" t="s">
        <v>123</v>
      </c>
      <c r="F62" s="50"/>
      <c r="G62" s="51"/>
      <c r="H62" s="51"/>
      <c r="I62" s="51"/>
      <c r="J62" s="51"/>
      <c r="K62" s="51">
        <f t="shared" ref="K62:V62" si="13">ROUND(SUM(K58:K61),5)</f>
        <v>4257.7299999999996</v>
      </c>
      <c r="L62" s="51">
        <f t="shared" si="13"/>
        <v>3525.47</v>
      </c>
      <c r="M62" s="51">
        <f t="shared" si="13"/>
        <v>312.81</v>
      </c>
      <c r="N62" s="51">
        <f t="shared" si="13"/>
        <v>3525.47</v>
      </c>
      <c r="O62" s="51">
        <f t="shared" si="13"/>
        <v>3525.47</v>
      </c>
      <c r="P62" s="51">
        <f t="shared" si="13"/>
        <v>3525.47</v>
      </c>
      <c r="Q62" s="51">
        <f t="shared" si="13"/>
        <v>3635.68</v>
      </c>
      <c r="R62" s="51">
        <f t="shared" si="13"/>
        <v>3254.09</v>
      </c>
      <c r="S62" s="51">
        <f t="shared" si="13"/>
        <v>5360.17</v>
      </c>
      <c r="T62" s="51">
        <f t="shared" si="13"/>
        <v>4307.13</v>
      </c>
      <c r="U62" s="51">
        <f t="shared" si="13"/>
        <v>5724.49</v>
      </c>
      <c r="V62" s="51">
        <f t="shared" si="13"/>
        <v>9341.86</v>
      </c>
      <c r="W62" s="51"/>
      <c r="X62" s="67">
        <f>ROUND(SUM(G62:W62),5)</f>
        <v>50295.839999999997</v>
      </c>
      <c r="Y62" s="67">
        <f>ROUND(SUM(Y58:Y61),5)</f>
        <v>64950</v>
      </c>
      <c r="Z62" s="67">
        <f>ROUND(SUM(Z58:Z61),5)</f>
        <v>64800</v>
      </c>
      <c r="AA62" s="68"/>
    </row>
    <row r="63" spans="1:27" x14ac:dyDescent="0.3">
      <c r="A63" s="50"/>
      <c r="B63" s="50"/>
      <c r="C63" s="50"/>
      <c r="D63" s="50"/>
      <c r="E63" s="50" t="s">
        <v>124</v>
      </c>
      <c r="F63" s="50"/>
      <c r="G63" s="51"/>
      <c r="H63" s="51"/>
      <c r="I63" s="51"/>
      <c r="J63" s="51"/>
      <c r="K63" s="51"/>
      <c r="L63" s="51"/>
      <c r="M63" s="51"/>
      <c r="N63" s="51"/>
      <c r="O63" s="51"/>
      <c r="P63" s="51"/>
      <c r="Q63" s="51"/>
      <c r="R63" s="51"/>
      <c r="S63" s="51"/>
      <c r="T63" s="51"/>
      <c r="U63" s="51"/>
      <c r="V63" s="51"/>
      <c r="W63" s="51"/>
      <c r="X63" s="67"/>
      <c r="Y63" s="67"/>
      <c r="Z63" s="67"/>
      <c r="AA63" s="68"/>
    </row>
    <row r="64" spans="1:27" ht="31.8" x14ac:dyDescent="0.3">
      <c r="A64" s="50"/>
      <c r="B64" s="50"/>
      <c r="C64" s="50"/>
      <c r="D64" s="50"/>
      <c r="E64" s="50"/>
      <c r="F64" s="50" t="s">
        <v>125</v>
      </c>
      <c r="G64" s="51"/>
      <c r="H64" s="51"/>
      <c r="I64" s="51"/>
      <c r="J64" s="51"/>
      <c r="K64" s="51">
        <v>1042.3699999999999</v>
      </c>
      <c r="L64" s="51">
        <v>1042.3699999999999</v>
      </c>
      <c r="M64" s="51">
        <v>3266.71</v>
      </c>
      <c r="N64" s="51">
        <v>1042.3699999999999</v>
      </c>
      <c r="O64" s="51">
        <v>1042.3699999999999</v>
      </c>
      <c r="P64" s="51">
        <v>1042.3699999999999</v>
      </c>
      <c r="Q64" s="51">
        <v>1042.3699999999999</v>
      </c>
      <c r="R64" s="51">
        <v>1042.3699999999999</v>
      </c>
      <c r="S64" s="51">
        <v>1042.3699999999999</v>
      </c>
      <c r="T64" s="51">
        <v>1042.3699999999999</v>
      </c>
      <c r="U64" s="51">
        <v>1590.57</v>
      </c>
      <c r="V64" s="51">
        <v>1590.51</v>
      </c>
      <c r="W64" s="51"/>
      <c r="X64" s="67">
        <f>ROUND(SUM(G64:W64),5)</f>
        <v>15829.12</v>
      </c>
      <c r="Y64" s="67">
        <v>17000</v>
      </c>
      <c r="Z64" s="67">
        <v>22000</v>
      </c>
      <c r="AA64" s="68" t="s">
        <v>256</v>
      </c>
    </row>
    <row r="65" spans="1:27" x14ac:dyDescent="0.3">
      <c r="A65" s="50"/>
      <c r="B65" s="50"/>
      <c r="C65" s="50"/>
      <c r="D65" s="50"/>
      <c r="E65" s="50"/>
      <c r="F65" s="50" t="s">
        <v>199</v>
      </c>
      <c r="G65" s="51"/>
      <c r="H65" s="51"/>
      <c r="I65" s="51"/>
      <c r="J65" s="51"/>
      <c r="K65" s="51">
        <v>0</v>
      </c>
      <c r="L65" s="51">
        <v>0</v>
      </c>
      <c r="M65" s="51">
        <v>0</v>
      </c>
      <c r="N65" s="51">
        <v>0</v>
      </c>
      <c r="O65" s="51">
        <v>0</v>
      </c>
      <c r="P65" s="51">
        <v>0</v>
      </c>
      <c r="Q65" s="51">
        <v>0</v>
      </c>
      <c r="R65" s="51">
        <v>0</v>
      </c>
      <c r="S65" s="51">
        <v>0</v>
      </c>
      <c r="T65" s="51">
        <v>0</v>
      </c>
      <c r="U65" s="51">
        <v>0</v>
      </c>
      <c r="V65" s="51">
        <v>0</v>
      </c>
      <c r="W65" s="51"/>
      <c r="X65" s="67">
        <f>ROUND(SUM(G65:W65),5)</f>
        <v>0</v>
      </c>
      <c r="Y65" s="67">
        <v>1600</v>
      </c>
      <c r="Z65" s="67">
        <v>1600</v>
      </c>
      <c r="AA65" s="68"/>
    </row>
    <row r="66" spans="1:27" ht="15" thickBot="1" x14ac:dyDescent="0.35">
      <c r="A66" s="50"/>
      <c r="B66" s="50"/>
      <c r="C66" s="50"/>
      <c r="D66" s="50"/>
      <c r="E66" s="50"/>
      <c r="F66" s="50" t="s">
        <v>126</v>
      </c>
      <c r="G66" s="51"/>
      <c r="H66" s="51"/>
      <c r="I66" s="51"/>
      <c r="J66" s="51"/>
      <c r="K66" s="51">
        <v>3.07</v>
      </c>
      <c r="L66" s="51">
        <v>24</v>
      </c>
      <c r="M66" s="51">
        <v>24</v>
      </c>
      <c r="N66" s="51">
        <v>48</v>
      </c>
      <c r="O66" s="51">
        <v>0</v>
      </c>
      <c r="P66" s="51">
        <v>24</v>
      </c>
      <c r="Q66" s="51">
        <v>426.54</v>
      </c>
      <c r="R66" s="51">
        <v>254.93</v>
      </c>
      <c r="S66" s="51">
        <v>153.99</v>
      </c>
      <c r="T66" s="51">
        <v>94.54</v>
      </c>
      <c r="U66" s="51">
        <v>0</v>
      </c>
      <c r="V66" s="51">
        <v>44.93</v>
      </c>
      <c r="W66" s="51"/>
      <c r="X66" s="67">
        <f>ROUND(SUM(G66:W66),5)</f>
        <v>1098</v>
      </c>
      <c r="Y66" s="67">
        <v>2000</v>
      </c>
      <c r="Z66" s="67">
        <v>2000</v>
      </c>
      <c r="AA66" s="68"/>
    </row>
    <row r="67" spans="1:27" ht="15" thickBot="1" x14ac:dyDescent="0.35">
      <c r="A67" s="50"/>
      <c r="B67" s="50"/>
      <c r="C67" s="50"/>
      <c r="D67" s="50"/>
      <c r="E67" s="50" t="s">
        <v>127</v>
      </c>
      <c r="F67" s="50"/>
      <c r="G67" s="53"/>
      <c r="H67" s="53"/>
      <c r="I67" s="53"/>
      <c r="J67" s="53"/>
      <c r="K67" s="53">
        <f t="shared" ref="K67:V67" si="14">ROUND(SUM(K63:K66),5)</f>
        <v>1045.44</v>
      </c>
      <c r="L67" s="53">
        <f t="shared" si="14"/>
        <v>1066.3699999999999</v>
      </c>
      <c r="M67" s="53">
        <f t="shared" si="14"/>
        <v>3290.71</v>
      </c>
      <c r="N67" s="53">
        <f t="shared" si="14"/>
        <v>1090.3699999999999</v>
      </c>
      <c r="O67" s="53">
        <f t="shared" si="14"/>
        <v>1042.3699999999999</v>
      </c>
      <c r="P67" s="53">
        <f t="shared" si="14"/>
        <v>1066.3699999999999</v>
      </c>
      <c r="Q67" s="53">
        <f t="shared" si="14"/>
        <v>1468.91</v>
      </c>
      <c r="R67" s="53">
        <f t="shared" si="14"/>
        <v>1297.3</v>
      </c>
      <c r="S67" s="53">
        <f t="shared" si="14"/>
        <v>1196.3599999999999</v>
      </c>
      <c r="T67" s="53">
        <f t="shared" si="14"/>
        <v>1136.9100000000001</v>
      </c>
      <c r="U67" s="53">
        <f t="shared" si="14"/>
        <v>1590.57</v>
      </c>
      <c r="V67" s="53">
        <f t="shared" si="14"/>
        <v>1635.44</v>
      </c>
      <c r="W67" s="53"/>
      <c r="X67" s="71">
        <f>ROUND(SUM(G67:W67),5)</f>
        <v>16927.12</v>
      </c>
      <c r="Y67" s="71">
        <f>ROUND(SUM(Y63:Y66),5)</f>
        <v>20600</v>
      </c>
      <c r="Z67" s="71">
        <f>ROUND(SUM(Z63:Z66),5)</f>
        <v>25600</v>
      </c>
      <c r="AA67" s="72"/>
    </row>
    <row r="68" spans="1:27" x14ac:dyDescent="0.3">
      <c r="A68" s="50"/>
      <c r="B68" s="50"/>
      <c r="C68" s="50"/>
      <c r="D68" s="50" t="s">
        <v>128</v>
      </c>
      <c r="E68" s="50"/>
      <c r="F68" s="50"/>
      <c r="G68" s="51"/>
      <c r="H68" s="51"/>
      <c r="I68" s="51"/>
      <c r="J68" s="51"/>
      <c r="K68" s="51">
        <f t="shared" ref="K68:V68" si="15">ROUND(K40+K47+K53+K57+K62+K67,5)</f>
        <v>16390.41</v>
      </c>
      <c r="L68" s="51">
        <f t="shared" si="15"/>
        <v>24775.15</v>
      </c>
      <c r="M68" s="51">
        <f t="shared" si="15"/>
        <v>22713.78</v>
      </c>
      <c r="N68" s="51">
        <f t="shared" si="15"/>
        <v>37089.300000000003</v>
      </c>
      <c r="O68" s="51">
        <f t="shared" si="15"/>
        <v>21281.85</v>
      </c>
      <c r="P68" s="51">
        <f t="shared" si="15"/>
        <v>25723.74</v>
      </c>
      <c r="Q68" s="51">
        <f t="shared" si="15"/>
        <v>32956.370000000003</v>
      </c>
      <c r="R68" s="51">
        <f t="shared" si="15"/>
        <v>23897.8</v>
      </c>
      <c r="S68" s="51">
        <f t="shared" si="15"/>
        <v>26043.08</v>
      </c>
      <c r="T68" s="51">
        <f t="shared" si="15"/>
        <v>41853.379999999997</v>
      </c>
      <c r="U68" s="51">
        <f t="shared" si="15"/>
        <v>37546.199999999997</v>
      </c>
      <c r="V68" s="51">
        <f t="shared" si="15"/>
        <v>35336.639999999999</v>
      </c>
      <c r="W68" s="51"/>
      <c r="X68" s="67">
        <f>ROUND(SUM(G68:W68),5)</f>
        <v>345607.7</v>
      </c>
      <c r="Y68" s="67">
        <f>ROUND(Y40+Y47+Y53+Y57+Y62+Y67,5)</f>
        <v>413380</v>
      </c>
      <c r="Z68" s="67">
        <f>ROUND(Z40+Z47+Z53+Z57+Z62+Z67,5)</f>
        <v>470191</v>
      </c>
      <c r="AA68" s="68"/>
    </row>
    <row r="69" spans="1:27" x14ac:dyDescent="0.3">
      <c r="A69" s="50"/>
      <c r="B69" s="50"/>
      <c r="C69" s="50"/>
      <c r="D69" s="50" t="s">
        <v>129</v>
      </c>
      <c r="E69" s="50"/>
      <c r="F69" s="50"/>
      <c r="G69" s="51"/>
      <c r="H69" s="51"/>
      <c r="I69" s="51"/>
      <c r="J69" s="51"/>
      <c r="K69" s="51"/>
      <c r="L69" s="51"/>
      <c r="M69" s="51"/>
      <c r="N69" s="51"/>
      <c r="O69" s="51"/>
      <c r="P69" s="51"/>
      <c r="Q69" s="51"/>
      <c r="R69" s="51"/>
      <c r="S69" s="51"/>
      <c r="T69" s="51"/>
      <c r="U69" s="51"/>
      <c r="V69" s="51"/>
      <c r="W69" s="51"/>
      <c r="X69" s="67"/>
      <c r="Y69" s="67"/>
      <c r="Z69" s="67"/>
      <c r="AA69" s="68"/>
    </row>
    <row r="70" spans="1:27" x14ac:dyDescent="0.3">
      <c r="A70" s="50"/>
      <c r="B70" s="50"/>
      <c r="C70" s="50"/>
      <c r="D70" s="50"/>
      <c r="E70" s="50" t="s">
        <v>130</v>
      </c>
      <c r="F70" s="50"/>
      <c r="G70" s="51"/>
      <c r="H70" s="51"/>
      <c r="I70" s="51"/>
      <c r="J70" s="51"/>
      <c r="K70" s="51"/>
      <c r="L70" s="51"/>
      <c r="M70" s="51"/>
      <c r="N70" s="51"/>
      <c r="O70" s="51"/>
      <c r="P70" s="51"/>
      <c r="Q70" s="51"/>
      <c r="R70" s="51"/>
      <c r="S70" s="51"/>
      <c r="T70" s="51"/>
      <c r="U70" s="51"/>
      <c r="V70" s="51"/>
      <c r="W70" s="51"/>
      <c r="X70" s="67"/>
      <c r="Y70" s="67"/>
      <c r="Z70" s="67"/>
      <c r="AA70" s="68"/>
    </row>
    <row r="71" spans="1:27" x14ac:dyDescent="0.3">
      <c r="A71" s="50"/>
      <c r="B71" s="50"/>
      <c r="C71" s="50"/>
      <c r="D71" s="50"/>
      <c r="E71" s="50"/>
      <c r="F71" s="50" t="s">
        <v>131</v>
      </c>
      <c r="G71" s="51"/>
      <c r="H71" s="51"/>
      <c r="I71" s="51"/>
      <c r="J71" s="51"/>
      <c r="K71" s="51">
        <v>265.27999999999997</v>
      </c>
      <c r="L71" s="51">
        <v>329.08</v>
      </c>
      <c r="M71" s="51">
        <v>297.18</v>
      </c>
      <c r="N71" s="51">
        <v>297.18</v>
      </c>
      <c r="O71" s="51">
        <v>297.18</v>
      </c>
      <c r="P71" s="51">
        <v>342.55</v>
      </c>
      <c r="Q71" s="51">
        <v>336.79</v>
      </c>
      <c r="R71" s="51">
        <v>336.79</v>
      </c>
      <c r="S71" s="51">
        <v>336.79</v>
      </c>
      <c r="T71" s="51">
        <v>336.79</v>
      </c>
      <c r="U71" s="51">
        <v>265.27999999999997</v>
      </c>
      <c r="V71" s="51">
        <v>265.27999999999997</v>
      </c>
      <c r="W71" s="51"/>
      <c r="X71" s="67">
        <f>ROUND(SUM(G71:W71),5)</f>
        <v>3706.17</v>
      </c>
      <c r="Y71" s="67">
        <v>3300</v>
      </c>
      <c r="Z71" s="67">
        <v>4100</v>
      </c>
      <c r="AA71" s="68" t="s">
        <v>250</v>
      </c>
    </row>
    <row r="72" spans="1:27" ht="15" thickBot="1" x14ac:dyDescent="0.35">
      <c r="A72" s="50"/>
      <c r="B72" s="50"/>
      <c r="C72" s="50"/>
      <c r="D72" s="50"/>
      <c r="E72" s="50"/>
      <c r="F72" s="50" t="s">
        <v>132</v>
      </c>
      <c r="G72" s="52"/>
      <c r="H72" s="52"/>
      <c r="I72" s="52"/>
      <c r="J72" s="52"/>
      <c r="K72" s="52">
        <v>0</v>
      </c>
      <c r="L72" s="52">
        <v>563.13</v>
      </c>
      <c r="M72" s="52">
        <v>558</v>
      </c>
      <c r="N72" s="52">
        <v>564.51</v>
      </c>
      <c r="O72" s="52">
        <v>381.22</v>
      </c>
      <c r="P72" s="52">
        <v>394.29</v>
      </c>
      <c r="Q72" s="52">
        <v>348.74</v>
      </c>
      <c r="R72" s="52">
        <v>330.04</v>
      </c>
      <c r="S72" s="52">
        <v>387.21</v>
      </c>
      <c r="T72" s="52">
        <v>320.44</v>
      </c>
      <c r="U72" s="52">
        <v>350.52</v>
      </c>
      <c r="V72" s="52">
        <v>939.43</v>
      </c>
      <c r="W72" s="52"/>
      <c r="X72" s="69">
        <f>ROUND(SUM(G72:W72),5)</f>
        <v>5137.53</v>
      </c>
      <c r="Y72" s="69">
        <v>5000</v>
      </c>
      <c r="Z72" s="69">
        <v>5500</v>
      </c>
      <c r="AA72" s="70"/>
    </row>
    <row r="73" spans="1:27" x14ac:dyDescent="0.3">
      <c r="A73" s="50"/>
      <c r="B73" s="50"/>
      <c r="C73" s="50"/>
      <c r="D73" s="50"/>
      <c r="E73" s="50" t="s">
        <v>133</v>
      </c>
      <c r="F73" s="50"/>
      <c r="G73" s="51"/>
      <c r="H73" s="51"/>
      <c r="I73" s="51"/>
      <c r="J73" s="51"/>
      <c r="K73" s="51">
        <f t="shared" ref="K73:V73" si="16">ROUND(SUM(K70:K72),5)</f>
        <v>265.27999999999997</v>
      </c>
      <c r="L73" s="51">
        <f t="shared" si="16"/>
        <v>892.21</v>
      </c>
      <c r="M73" s="51">
        <f t="shared" si="16"/>
        <v>855.18</v>
      </c>
      <c r="N73" s="51">
        <f t="shared" si="16"/>
        <v>861.69</v>
      </c>
      <c r="O73" s="51">
        <f t="shared" si="16"/>
        <v>678.4</v>
      </c>
      <c r="P73" s="51">
        <f t="shared" si="16"/>
        <v>736.84</v>
      </c>
      <c r="Q73" s="51">
        <f t="shared" si="16"/>
        <v>685.53</v>
      </c>
      <c r="R73" s="51">
        <f t="shared" si="16"/>
        <v>666.83</v>
      </c>
      <c r="S73" s="51">
        <f t="shared" si="16"/>
        <v>724</v>
      </c>
      <c r="T73" s="51">
        <f t="shared" si="16"/>
        <v>657.23</v>
      </c>
      <c r="U73" s="51">
        <f t="shared" si="16"/>
        <v>615.79999999999995</v>
      </c>
      <c r="V73" s="51">
        <f t="shared" si="16"/>
        <v>1204.71</v>
      </c>
      <c r="W73" s="51"/>
      <c r="X73" s="67">
        <f>ROUND(SUM(G73:W73),5)</f>
        <v>8843.7000000000007</v>
      </c>
      <c r="Y73" s="67">
        <f>ROUND(SUM(Y70:Y72),5)</f>
        <v>8300</v>
      </c>
      <c r="Z73" s="67">
        <f>ROUND(SUM(Z70:Z72),5)</f>
        <v>9600</v>
      </c>
      <c r="AA73" s="68"/>
    </row>
    <row r="74" spans="1:27" x14ac:dyDescent="0.3">
      <c r="A74" s="50"/>
      <c r="B74" s="50"/>
      <c r="C74" s="50"/>
      <c r="D74" s="50"/>
      <c r="E74" s="50"/>
      <c r="F74" s="50"/>
      <c r="G74" s="51"/>
      <c r="H74" s="51"/>
      <c r="I74" s="51"/>
      <c r="J74" s="51"/>
      <c r="K74" s="51"/>
      <c r="L74" s="51"/>
      <c r="M74" s="51"/>
      <c r="N74" s="51"/>
      <c r="O74" s="51"/>
      <c r="P74" s="51"/>
      <c r="Q74" s="51"/>
      <c r="R74" s="51"/>
      <c r="S74" s="51"/>
      <c r="T74" s="51"/>
      <c r="U74" s="51"/>
      <c r="V74" s="51"/>
      <c r="W74" s="51"/>
      <c r="X74" s="67"/>
      <c r="Y74" s="67"/>
      <c r="Z74" s="67"/>
      <c r="AA74" s="68"/>
    </row>
    <row r="75" spans="1:27" x14ac:dyDescent="0.3">
      <c r="A75" s="50"/>
      <c r="B75" s="50"/>
      <c r="C75" s="50"/>
      <c r="D75" s="50"/>
      <c r="E75" s="50"/>
      <c r="F75" s="50"/>
      <c r="G75" s="51"/>
      <c r="H75" s="51"/>
      <c r="I75" s="51"/>
      <c r="J75" s="51"/>
      <c r="K75" s="51"/>
      <c r="L75" s="51"/>
      <c r="M75" s="51"/>
      <c r="N75" s="51"/>
      <c r="O75" s="51"/>
      <c r="P75" s="51"/>
      <c r="Q75" s="51"/>
      <c r="R75" s="51"/>
      <c r="S75" s="51"/>
      <c r="T75" s="51"/>
      <c r="U75" s="51"/>
      <c r="V75" s="51"/>
      <c r="W75" s="51"/>
      <c r="X75" s="67"/>
      <c r="Y75" s="67"/>
      <c r="Z75" s="67"/>
      <c r="AA75" s="68"/>
    </row>
    <row r="76" spans="1:27" x14ac:dyDescent="0.3">
      <c r="A76" s="50"/>
      <c r="B76" s="50"/>
      <c r="C76" s="50"/>
      <c r="D76" s="50"/>
      <c r="E76" s="50"/>
      <c r="F76" s="50"/>
      <c r="G76" s="51"/>
      <c r="H76" s="51"/>
      <c r="I76" s="51"/>
      <c r="J76" s="51"/>
      <c r="K76" s="51"/>
      <c r="L76" s="51"/>
      <c r="M76" s="51"/>
      <c r="N76" s="51"/>
      <c r="O76" s="51"/>
      <c r="P76" s="51"/>
      <c r="Q76" s="51"/>
      <c r="R76" s="51"/>
      <c r="S76" s="51"/>
      <c r="T76" s="51"/>
      <c r="U76" s="51"/>
      <c r="V76" s="51"/>
      <c r="W76" s="51"/>
      <c r="X76" s="67"/>
      <c r="Y76" s="67"/>
      <c r="Z76" s="67"/>
      <c r="AA76" s="68"/>
    </row>
    <row r="77" spans="1:27" x14ac:dyDescent="0.3">
      <c r="A77" s="50"/>
      <c r="B77" s="50"/>
      <c r="C77" s="50"/>
      <c r="D77" s="50"/>
      <c r="E77" s="50"/>
      <c r="F77" s="50"/>
      <c r="G77" s="51"/>
      <c r="H77" s="51"/>
      <c r="I77" s="51"/>
      <c r="J77" s="51"/>
      <c r="K77" s="51"/>
      <c r="L77" s="51"/>
      <c r="M77" s="51"/>
      <c r="N77" s="51"/>
      <c r="O77" s="51"/>
      <c r="P77" s="51"/>
      <c r="Q77" s="51"/>
      <c r="R77" s="51"/>
      <c r="S77" s="51"/>
      <c r="T77" s="51"/>
      <c r="U77" s="51"/>
      <c r="V77" s="51"/>
      <c r="W77" s="51"/>
      <c r="X77" s="67"/>
      <c r="Y77" s="67"/>
      <c r="Z77" s="67"/>
      <c r="AA77" s="68"/>
    </row>
    <row r="78" spans="1:27" x14ac:dyDescent="0.3">
      <c r="A78" s="50"/>
      <c r="B78" s="50"/>
      <c r="C78" s="50"/>
      <c r="D78" s="50"/>
      <c r="E78" s="50"/>
      <c r="F78" s="50"/>
      <c r="G78" s="51"/>
      <c r="H78" s="51"/>
      <c r="I78" s="51"/>
      <c r="J78" s="51"/>
      <c r="K78" s="51"/>
      <c r="L78" s="51"/>
      <c r="M78" s="51"/>
      <c r="N78" s="51"/>
      <c r="O78" s="51"/>
      <c r="P78" s="51"/>
      <c r="Q78" s="51"/>
      <c r="R78" s="51"/>
      <c r="S78" s="51"/>
      <c r="T78" s="51"/>
      <c r="U78" s="51"/>
      <c r="V78" s="51"/>
      <c r="W78" s="51"/>
      <c r="X78" s="67"/>
      <c r="Y78" s="67"/>
      <c r="Z78" s="67"/>
      <c r="AA78" s="68"/>
    </row>
    <row r="79" spans="1:27" x14ac:dyDescent="0.3">
      <c r="A79" s="50"/>
      <c r="B79" s="50"/>
      <c r="C79" s="50"/>
      <c r="D79" s="50"/>
      <c r="E79" s="50"/>
      <c r="F79" s="50"/>
      <c r="G79" s="51"/>
      <c r="H79" s="51"/>
      <c r="I79" s="51"/>
      <c r="J79" s="51"/>
      <c r="K79" s="51"/>
      <c r="L79" s="51"/>
      <c r="M79" s="51"/>
      <c r="N79" s="51"/>
      <c r="O79" s="51"/>
      <c r="P79" s="51"/>
      <c r="Q79" s="51"/>
      <c r="R79" s="51"/>
      <c r="S79" s="51"/>
      <c r="T79" s="51"/>
      <c r="U79" s="51"/>
      <c r="V79" s="51"/>
      <c r="W79" s="51"/>
      <c r="X79" s="67"/>
      <c r="Y79" s="67"/>
      <c r="Z79" s="67"/>
      <c r="AA79" s="68"/>
    </row>
    <row r="80" spans="1:27" x14ac:dyDescent="0.3">
      <c r="A80" s="50"/>
      <c r="B80" s="50"/>
      <c r="C80" s="50"/>
      <c r="D80" s="50"/>
      <c r="E80" s="50"/>
      <c r="F80" s="50"/>
      <c r="G80" s="51"/>
      <c r="H80" s="51"/>
      <c r="I80" s="51"/>
      <c r="J80" s="51"/>
      <c r="K80" s="51"/>
      <c r="L80" s="51"/>
      <c r="M80" s="51"/>
      <c r="N80" s="51"/>
      <c r="O80" s="51"/>
      <c r="P80" s="51"/>
      <c r="Q80" s="51"/>
      <c r="R80" s="51"/>
      <c r="S80" s="51"/>
      <c r="T80" s="51"/>
      <c r="U80" s="51"/>
      <c r="V80" s="51"/>
      <c r="W80" s="51"/>
      <c r="X80" s="67"/>
      <c r="Y80" s="67"/>
      <c r="Z80" s="67"/>
      <c r="AA80" s="68"/>
    </row>
    <row r="81" spans="1:27" x14ac:dyDescent="0.3">
      <c r="A81" s="50"/>
      <c r="B81" s="50"/>
      <c r="C81" s="50"/>
      <c r="D81" s="50"/>
      <c r="E81" s="50"/>
      <c r="F81" s="50"/>
      <c r="G81" s="51"/>
      <c r="H81" s="51"/>
      <c r="I81" s="51"/>
      <c r="J81" s="51"/>
      <c r="K81" s="51"/>
      <c r="L81" s="51"/>
      <c r="M81" s="51"/>
      <c r="N81" s="51"/>
      <c r="O81" s="51"/>
      <c r="P81" s="51"/>
      <c r="Q81" s="51"/>
      <c r="R81" s="51"/>
      <c r="S81" s="51"/>
      <c r="T81" s="51"/>
      <c r="U81" s="51"/>
      <c r="V81" s="51"/>
      <c r="W81" s="51"/>
      <c r="X81" s="67"/>
      <c r="Y81" s="67"/>
      <c r="Z81" s="67"/>
      <c r="AA81" s="68"/>
    </row>
    <row r="82" spans="1:27" x14ac:dyDescent="0.3">
      <c r="A82" s="50"/>
      <c r="B82" s="50"/>
      <c r="C82" s="50"/>
      <c r="D82" s="50"/>
      <c r="E82" s="50"/>
      <c r="F82" s="50"/>
      <c r="G82" s="51"/>
      <c r="H82" s="51"/>
      <c r="I82" s="51"/>
      <c r="J82" s="51"/>
      <c r="K82" s="51"/>
      <c r="L82" s="51"/>
      <c r="M82" s="51"/>
      <c r="N82" s="51"/>
      <c r="O82" s="51"/>
      <c r="P82" s="51"/>
      <c r="Q82" s="51"/>
      <c r="R82" s="51"/>
      <c r="S82" s="51"/>
      <c r="T82" s="51"/>
      <c r="U82" s="51"/>
      <c r="V82" s="51"/>
      <c r="W82" s="51"/>
      <c r="X82" s="67"/>
      <c r="Y82" s="67"/>
      <c r="Z82" s="67"/>
      <c r="AA82" s="68"/>
    </row>
    <row r="83" spans="1:27" x14ac:dyDescent="0.3">
      <c r="A83" s="50"/>
      <c r="B83" s="50"/>
      <c r="C83" s="50"/>
      <c r="D83" s="50"/>
      <c r="E83" s="50"/>
      <c r="F83" s="50"/>
      <c r="G83" s="51"/>
      <c r="H83" s="51"/>
      <c r="I83" s="51"/>
      <c r="J83" s="51"/>
      <c r="K83" s="51"/>
      <c r="L83" s="51"/>
      <c r="M83" s="51"/>
      <c r="N83" s="51"/>
      <c r="O83" s="51"/>
      <c r="P83" s="51"/>
      <c r="Q83" s="51"/>
      <c r="R83" s="51"/>
      <c r="S83" s="51"/>
      <c r="T83" s="51"/>
      <c r="U83" s="51"/>
      <c r="V83" s="51"/>
      <c r="W83" s="51"/>
      <c r="X83" s="67"/>
      <c r="Y83" s="67"/>
      <c r="Z83" s="67"/>
      <c r="AA83" s="68"/>
    </row>
    <row r="84" spans="1:27" x14ac:dyDescent="0.3">
      <c r="A84" s="50"/>
      <c r="B84" s="50"/>
      <c r="C84" s="50"/>
      <c r="D84" s="50"/>
      <c r="E84" s="50"/>
      <c r="F84" s="50"/>
      <c r="G84" s="51"/>
      <c r="H84" s="51"/>
      <c r="I84" s="51"/>
      <c r="J84" s="51"/>
      <c r="K84" s="51"/>
      <c r="L84" s="51"/>
      <c r="M84" s="51"/>
      <c r="N84" s="51"/>
      <c r="O84" s="51"/>
      <c r="P84" s="51"/>
      <c r="Q84" s="51"/>
      <c r="R84" s="51"/>
      <c r="S84" s="51"/>
      <c r="T84" s="51"/>
      <c r="U84" s="51"/>
      <c r="V84" s="51"/>
      <c r="W84" s="51"/>
      <c r="X84" s="67"/>
      <c r="Y84" s="67"/>
      <c r="Z84" s="67"/>
      <c r="AA84" s="68"/>
    </row>
    <row r="85" spans="1:27" x14ac:dyDescent="0.3">
      <c r="A85" s="50"/>
      <c r="B85" s="50"/>
      <c r="C85" s="50"/>
      <c r="D85" s="50"/>
      <c r="E85" s="50"/>
      <c r="F85" s="50"/>
      <c r="G85" s="51"/>
      <c r="H85" s="51"/>
      <c r="I85" s="51"/>
      <c r="J85" s="51"/>
      <c r="K85" s="51"/>
      <c r="L85" s="51"/>
      <c r="M85" s="51"/>
      <c r="N85" s="51"/>
      <c r="O85" s="51"/>
      <c r="P85" s="51"/>
      <c r="Q85" s="51"/>
      <c r="R85" s="51"/>
      <c r="S85" s="51"/>
      <c r="T85" s="51"/>
      <c r="U85" s="51"/>
      <c r="V85" s="51"/>
      <c r="W85" s="51"/>
      <c r="X85" s="67"/>
      <c r="Y85" s="67"/>
      <c r="Z85" s="67"/>
      <c r="AA85" s="68"/>
    </row>
    <row r="86" spans="1:27" x14ac:dyDescent="0.3">
      <c r="A86" s="50"/>
      <c r="B86" s="50"/>
      <c r="C86" s="50"/>
      <c r="D86" s="50"/>
      <c r="E86" s="50"/>
      <c r="F86" s="50"/>
      <c r="G86" s="51"/>
      <c r="H86" s="51"/>
      <c r="I86" s="51"/>
      <c r="J86" s="51"/>
      <c r="K86" s="51"/>
      <c r="L86" s="51"/>
      <c r="M86" s="51"/>
      <c r="N86" s="51"/>
      <c r="O86" s="51"/>
      <c r="P86" s="51"/>
      <c r="Q86" s="51"/>
      <c r="R86" s="51"/>
      <c r="S86" s="51"/>
      <c r="T86" s="51"/>
      <c r="U86" s="51"/>
      <c r="V86" s="51"/>
      <c r="W86" s="51"/>
      <c r="X86" s="67"/>
      <c r="Y86" s="67"/>
      <c r="Z86" s="67"/>
      <c r="AA86" s="68"/>
    </row>
    <row r="87" spans="1:27" x14ac:dyDescent="0.3">
      <c r="A87" s="50"/>
      <c r="B87" s="50"/>
      <c r="C87" s="50"/>
      <c r="D87" s="50"/>
      <c r="E87" s="50"/>
      <c r="F87" s="50"/>
      <c r="G87" s="51"/>
      <c r="H87" s="51"/>
      <c r="I87" s="51"/>
      <c r="J87" s="51"/>
      <c r="K87" s="51"/>
      <c r="L87" s="51"/>
      <c r="M87" s="51"/>
      <c r="N87" s="51"/>
      <c r="O87" s="51"/>
      <c r="P87" s="51"/>
      <c r="Q87" s="51"/>
      <c r="R87" s="51"/>
      <c r="S87" s="51"/>
      <c r="T87" s="51"/>
      <c r="U87" s="51"/>
      <c r="V87" s="51"/>
      <c r="W87" s="51"/>
      <c r="X87" s="67"/>
      <c r="Y87" s="67"/>
      <c r="Z87" s="67"/>
      <c r="AA87" s="68"/>
    </row>
    <row r="88" spans="1:27" x14ac:dyDescent="0.3">
      <c r="A88" s="50"/>
      <c r="B88" s="50"/>
      <c r="C88" s="50"/>
      <c r="D88" s="50"/>
      <c r="E88" s="50"/>
      <c r="F88" s="50"/>
      <c r="G88" s="51"/>
      <c r="H88" s="51"/>
      <c r="I88" s="51"/>
      <c r="J88" s="51"/>
      <c r="K88" s="51"/>
      <c r="L88" s="51"/>
      <c r="M88" s="51"/>
      <c r="N88" s="51"/>
      <c r="O88" s="51"/>
      <c r="P88" s="51"/>
      <c r="Q88" s="51"/>
      <c r="R88" s="51"/>
      <c r="S88" s="51"/>
      <c r="T88" s="51"/>
      <c r="U88" s="51"/>
      <c r="V88" s="51"/>
      <c r="W88" s="51"/>
      <c r="X88" s="67"/>
      <c r="Y88" s="67"/>
      <c r="Z88" s="67"/>
      <c r="AA88" s="68"/>
    </row>
    <row r="89" spans="1:27" x14ac:dyDescent="0.3">
      <c r="A89" s="50"/>
      <c r="B89" s="50"/>
      <c r="C89" s="50"/>
      <c r="D89" s="50"/>
      <c r="E89" s="50"/>
      <c r="F89" s="50"/>
      <c r="G89" s="51"/>
      <c r="H89" s="51"/>
      <c r="I89" s="51"/>
      <c r="J89" s="51"/>
      <c r="K89" s="51"/>
      <c r="L89" s="51"/>
      <c r="M89" s="51"/>
      <c r="N89" s="51"/>
      <c r="O89" s="51"/>
      <c r="P89" s="51"/>
      <c r="Q89" s="51"/>
      <c r="R89" s="51"/>
      <c r="S89" s="51"/>
      <c r="T89" s="51"/>
      <c r="U89" s="51"/>
      <c r="V89" s="51"/>
      <c r="W89" s="51"/>
      <c r="X89" s="67"/>
      <c r="Y89" s="67"/>
      <c r="Z89" s="67"/>
      <c r="AA89" s="68"/>
    </row>
    <row r="90" spans="1:27" x14ac:dyDescent="0.3">
      <c r="A90" s="50"/>
      <c r="B90" s="50"/>
      <c r="C90" s="50"/>
      <c r="D90" s="50"/>
      <c r="E90" s="50"/>
      <c r="F90" s="50"/>
      <c r="G90" s="51"/>
      <c r="H90" s="51"/>
      <c r="I90" s="51"/>
      <c r="J90" s="51"/>
      <c r="K90" s="51"/>
      <c r="L90" s="51"/>
      <c r="M90" s="51"/>
      <c r="N90" s="51"/>
      <c r="O90" s="51"/>
      <c r="P90" s="51"/>
      <c r="Q90" s="51"/>
      <c r="R90" s="51"/>
      <c r="S90" s="51"/>
      <c r="T90" s="51"/>
      <c r="U90" s="51"/>
      <c r="V90" s="51"/>
      <c r="W90" s="51"/>
      <c r="X90" s="67"/>
      <c r="Y90" s="67"/>
      <c r="Z90" s="67"/>
      <c r="AA90" s="68"/>
    </row>
    <row r="91" spans="1:27" x14ac:dyDescent="0.3">
      <c r="A91" s="50"/>
      <c r="B91" s="50"/>
      <c r="C91" s="50"/>
      <c r="D91" s="50"/>
      <c r="E91" s="50"/>
      <c r="F91" s="50"/>
      <c r="G91" s="51"/>
      <c r="H91" s="51"/>
      <c r="I91" s="51"/>
      <c r="J91" s="51"/>
      <c r="K91" s="51"/>
      <c r="L91" s="51"/>
      <c r="M91" s="51"/>
      <c r="N91" s="51"/>
      <c r="O91" s="51"/>
      <c r="P91" s="51"/>
      <c r="Q91" s="51"/>
      <c r="R91" s="51"/>
      <c r="S91" s="51"/>
      <c r="T91" s="51"/>
      <c r="U91" s="51"/>
      <c r="V91" s="51"/>
      <c r="W91" s="51"/>
      <c r="X91" s="67"/>
      <c r="Y91" s="67"/>
      <c r="Z91" s="67"/>
      <c r="AA91" s="68"/>
    </row>
    <row r="92" spans="1:27" x14ac:dyDescent="0.3">
      <c r="A92" s="50"/>
      <c r="B92" s="50"/>
      <c r="C92" s="50"/>
      <c r="D92" s="50"/>
      <c r="E92" s="50" t="s">
        <v>134</v>
      </c>
      <c r="F92" s="50"/>
      <c r="G92" s="51"/>
      <c r="H92" s="51"/>
      <c r="I92" s="51"/>
      <c r="J92" s="51"/>
      <c r="K92" s="51"/>
      <c r="L92" s="51"/>
      <c r="M92" s="51"/>
      <c r="N92" s="51"/>
      <c r="O92" s="51"/>
      <c r="P92" s="51"/>
      <c r="Q92" s="51"/>
      <c r="R92" s="51"/>
      <c r="S92" s="51"/>
      <c r="T92" s="51"/>
      <c r="U92" s="51"/>
      <c r="V92" s="51"/>
      <c r="W92" s="51"/>
      <c r="X92" s="67"/>
      <c r="Y92" s="67"/>
      <c r="Z92" s="67"/>
      <c r="AA92" s="68"/>
    </row>
    <row r="93" spans="1:27" x14ac:dyDescent="0.3">
      <c r="A93" s="50"/>
      <c r="B93" s="50"/>
      <c r="C93" s="50"/>
      <c r="D93" s="50"/>
      <c r="E93" s="50"/>
      <c r="F93" s="50" t="s">
        <v>135</v>
      </c>
      <c r="G93" s="51"/>
      <c r="H93" s="51"/>
      <c r="I93" s="51"/>
      <c r="J93" s="51"/>
      <c r="K93" s="51">
        <v>0</v>
      </c>
      <c r="L93" s="51">
        <v>750</v>
      </c>
      <c r="M93" s="51">
        <v>750</v>
      </c>
      <c r="N93" s="51">
        <v>1500</v>
      </c>
      <c r="O93" s="51">
        <v>0</v>
      </c>
      <c r="P93" s="51">
        <v>750</v>
      </c>
      <c r="Q93" s="51">
        <v>0</v>
      </c>
      <c r="R93" s="51">
        <v>750</v>
      </c>
      <c r="S93" s="51">
        <v>750</v>
      </c>
      <c r="T93" s="51">
        <v>1500</v>
      </c>
      <c r="U93" s="51">
        <v>0</v>
      </c>
      <c r="V93" s="51">
        <v>1500</v>
      </c>
      <c r="W93" s="51"/>
      <c r="X93" s="67">
        <f t="shared" ref="X93:X124" si="17">ROUND(SUM(G93:W93),5)</f>
        <v>8250</v>
      </c>
      <c r="Y93" s="67">
        <v>10500</v>
      </c>
      <c r="Z93" s="67">
        <v>11250</v>
      </c>
      <c r="AA93" s="68" t="s">
        <v>246</v>
      </c>
    </row>
    <row r="94" spans="1:27" x14ac:dyDescent="0.3">
      <c r="A94" s="50"/>
      <c r="B94" s="50"/>
      <c r="C94" s="50"/>
      <c r="D94" s="50"/>
      <c r="E94" s="50"/>
      <c r="F94" s="50" t="s">
        <v>136</v>
      </c>
      <c r="G94" s="51"/>
      <c r="H94" s="51"/>
      <c r="I94" s="51"/>
      <c r="J94" s="51"/>
      <c r="K94" s="51">
        <v>343.33</v>
      </c>
      <c r="L94" s="51">
        <v>145.52000000000001</v>
      </c>
      <c r="M94" s="51">
        <v>48.86</v>
      </c>
      <c r="N94" s="51">
        <v>178.2</v>
      </c>
      <c r="O94" s="51">
        <v>34.76</v>
      </c>
      <c r="P94" s="51">
        <v>320.76</v>
      </c>
      <c r="Q94" s="51">
        <v>60.83</v>
      </c>
      <c r="R94" s="51">
        <v>0</v>
      </c>
      <c r="S94" s="51">
        <v>438.46</v>
      </c>
      <c r="T94" s="51">
        <v>295.25</v>
      </c>
      <c r="U94" s="51">
        <v>422.36</v>
      </c>
      <c r="V94" s="51">
        <v>0</v>
      </c>
      <c r="W94" s="51"/>
      <c r="X94" s="67">
        <f t="shared" si="17"/>
        <v>2288.33</v>
      </c>
      <c r="Y94" s="67">
        <v>3100</v>
      </c>
      <c r="Z94" s="67">
        <v>3600</v>
      </c>
      <c r="AA94" s="68" t="s">
        <v>250</v>
      </c>
    </row>
    <row r="95" spans="1:27" x14ac:dyDescent="0.3">
      <c r="A95" s="50"/>
      <c r="B95" s="50"/>
      <c r="C95" s="50"/>
      <c r="D95" s="50"/>
      <c r="E95" s="50"/>
      <c r="F95" s="50" t="s">
        <v>137</v>
      </c>
      <c r="G95" s="51"/>
      <c r="H95" s="51"/>
      <c r="I95" s="51"/>
      <c r="J95" s="51"/>
      <c r="K95" s="51">
        <v>241.34</v>
      </c>
      <c r="L95" s="51">
        <v>372.18</v>
      </c>
      <c r="M95" s="51">
        <v>296.32</v>
      </c>
      <c r="N95" s="51">
        <v>0</v>
      </c>
      <c r="O95" s="51">
        <v>517.34</v>
      </c>
      <c r="P95" s="51">
        <v>256.20999999999998</v>
      </c>
      <c r="Q95" s="51">
        <v>256.41000000000003</v>
      </c>
      <c r="R95" s="51">
        <v>256.41000000000003</v>
      </c>
      <c r="S95" s="51">
        <v>256.41000000000003</v>
      </c>
      <c r="T95" s="51">
        <v>256.47000000000003</v>
      </c>
      <c r="U95" s="51">
        <v>240.82</v>
      </c>
      <c r="V95" s="51">
        <v>240.82</v>
      </c>
      <c r="W95" s="51"/>
      <c r="X95" s="67">
        <f t="shared" si="17"/>
        <v>3190.73</v>
      </c>
      <c r="Y95" s="67">
        <v>3900</v>
      </c>
      <c r="Z95" s="67">
        <v>3300</v>
      </c>
      <c r="AA95" s="68"/>
    </row>
    <row r="96" spans="1:27" x14ac:dyDescent="0.3">
      <c r="A96" s="50"/>
      <c r="B96" s="50"/>
      <c r="C96" s="50"/>
      <c r="D96" s="50"/>
      <c r="E96" s="50"/>
      <c r="F96" s="50" t="s">
        <v>138</v>
      </c>
      <c r="G96" s="51"/>
      <c r="H96" s="51"/>
      <c r="I96" s="51"/>
      <c r="J96" s="51"/>
      <c r="K96" s="51">
        <v>0</v>
      </c>
      <c r="L96" s="51">
        <v>0</v>
      </c>
      <c r="M96" s="51">
        <v>0</v>
      </c>
      <c r="N96" s="51">
        <v>0</v>
      </c>
      <c r="O96" s="51">
        <v>0</v>
      </c>
      <c r="P96" s="51">
        <v>0</v>
      </c>
      <c r="Q96" s="51">
        <v>0</v>
      </c>
      <c r="R96" s="51">
        <v>0</v>
      </c>
      <c r="S96" s="51">
        <v>0</v>
      </c>
      <c r="T96" s="51">
        <v>0</v>
      </c>
      <c r="U96" s="51">
        <v>0</v>
      </c>
      <c r="V96" s="51">
        <v>0</v>
      </c>
      <c r="W96" s="51"/>
      <c r="X96" s="67">
        <f t="shared" si="17"/>
        <v>0</v>
      </c>
      <c r="Y96" s="67">
        <v>1100</v>
      </c>
      <c r="Z96" s="67">
        <v>0</v>
      </c>
      <c r="AA96" s="68" t="s">
        <v>248</v>
      </c>
    </row>
    <row r="97" spans="1:27" x14ac:dyDescent="0.3">
      <c r="A97" s="50"/>
      <c r="B97" s="50"/>
      <c r="C97" s="50"/>
      <c r="D97" s="50"/>
      <c r="E97" s="50"/>
      <c r="F97" s="50" t="s">
        <v>139</v>
      </c>
      <c r="G97" s="51"/>
      <c r="H97" s="51"/>
      <c r="I97" s="51"/>
      <c r="J97" s="51"/>
      <c r="K97" s="51">
        <v>1196.9100000000001</v>
      </c>
      <c r="L97" s="51">
        <v>1196.9100000000001</v>
      </c>
      <c r="M97" s="51">
        <v>1196.9100000000001</v>
      </c>
      <c r="N97" s="51">
        <v>1196.9100000000001</v>
      </c>
      <c r="O97" s="51">
        <v>1196.9100000000001</v>
      </c>
      <c r="P97" s="51">
        <v>1196.9100000000001</v>
      </c>
      <c r="Q97" s="51">
        <v>1196.9100000000001</v>
      </c>
      <c r="R97" s="51">
        <v>1196.9100000000001</v>
      </c>
      <c r="S97" s="51">
        <v>1196.9100000000001</v>
      </c>
      <c r="T97" s="51">
        <v>1196.9100000000001</v>
      </c>
      <c r="U97" s="51">
        <v>1196.9100000000001</v>
      </c>
      <c r="V97" s="51">
        <v>1196.9100000000001</v>
      </c>
      <c r="W97" s="51"/>
      <c r="X97" s="67">
        <f t="shared" si="17"/>
        <v>14362.92</v>
      </c>
      <c r="Y97" s="67">
        <v>14400</v>
      </c>
      <c r="Z97" s="67">
        <v>15900</v>
      </c>
      <c r="AA97" s="68" t="s">
        <v>255</v>
      </c>
    </row>
    <row r="98" spans="1:27" x14ac:dyDescent="0.3">
      <c r="A98" s="50"/>
      <c r="B98" s="50"/>
      <c r="C98" s="50"/>
      <c r="D98" s="50"/>
      <c r="E98" s="50"/>
      <c r="F98" s="50" t="s">
        <v>140</v>
      </c>
      <c r="G98" s="51"/>
      <c r="H98" s="51"/>
      <c r="I98" s="51"/>
      <c r="J98" s="51"/>
      <c r="K98" s="51">
        <v>120</v>
      </c>
      <c r="L98" s="51">
        <v>75</v>
      </c>
      <c r="M98" s="51">
        <v>0</v>
      </c>
      <c r="N98" s="51">
        <v>0</v>
      </c>
      <c r="O98" s="51">
        <v>395</v>
      </c>
      <c r="P98" s="51">
        <v>1230</v>
      </c>
      <c r="Q98" s="51">
        <v>584</v>
      </c>
      <c r="R98" s="51">
        <v>0</v>
      </c>
      <c r="S98" s="51">
        <v>0</v>
      </c>
      <c r="T98" s="51">
        <v>0</v>
      </c>
      <c r="U98" s="51">
        <v>0</v>
      </c>
      <c r="V98" s="51">
        <v>0</v>
      </c>
      <c r="W98" s="51"/>
      <c r="X98" s="67">
        <f t="shared" si="17"/>
        <v>2404</v>
      </c>
      <c r="Y98" s="67">
        <v>2600</v>
      </c>
      <c r="Z98" s="67">
        <v>2600</v>
      </c>
      <c r="AA98" s="68"/>
    </row>
    <row r="99" spans="1:27" x14ac:dyDescent="0.3">
      <c r="A99" s="50"/>
      <c r="B99" s="50"/>
      <c r="C99" s="50"/>
      <c r="D99" s="50"/>
      <c r="E99" s="50"/>
      <c r="F99" s="50" t="s">
        <v>141</v>
      </c>
      <c r="G99" s="51"/>
      <c r="H99" s="51"/>
      <c r="I99" s="51"/>
      <c r="J99" s="51"/>
      <c r="K99" s="51">
        <v>21</v>
      </c>
      <c r="L99" s="51">
        <v>21</v>
      </c>
      <c r="M99" s="51">
        <v>21</v>
      </c>
      <c r="N99" s="51">
        <v>56</v>
      </c>
      <c r="O99" s="51">
        <v>21</v>
      </c>
      <c r="P99" s="51">
        <v>21</v>
      </c>
      <c r="Q99" s="51">
        <v>21</v>
      </c>
      <c r="R99" s="51">
        <v>16</v>
      </c>
      <c r="S99" s="51">
        <v>16</v>
      </c>
      <c r="T99" s="51">
        <v>16</v>
      </c>
      <c r="U99" s="51">
        <v>21</v>
      </c>
      <c r="V99" s="51">
        <v>21</v>
      </c>
      <c r="W99" s="51"/>
      <c r="X99" s="67">
        <f t="shared" si="17"/>
        <v>272</v>
      </c>
      <c r="Y99" s="67">
        <v>800</v>
      </c>
      <c r="Z99" s="67">
        <v>300</v>
      </c>
      <c r="AA99" s="68"/>
    </row>
    <row r="100" spans="1:27" x14ac:dyDescent="0.3">
      <c r="A100" s="50"/>
      <c r="B100" s="50"/>
      <c r="C100" s="50"/>
      <c r="D100" s="50"/>
      <c r="E100" s="50"/>
      <c r="F100" s="50" t="s">
        <v>142</v>
      </c>
      <c r="G100" s="51"/>
      <c r="H100" s="51"/>
      <c r="I100" s="51"/>
      <c r="J100" s="51"/>
      <c r="K100" s="51">
        <v>0</v>
      </c>
      <c r="L100" s="51">
        <v>0</v>
      </c>
      <c r="M100" s="51">
        <v>0</v>
      </c>
      <c r="N100" s="51">
        <v>0</v>
      </c>
      <c r="O100" s="51">
        <v>837.34</v>
      </c>
      <c r="P100" s="51">
        <v>0</v>
      </c>
      <c r="Q100" s="51">
        <v>0</v>
      </c>
      <c r="R100" s="51">
        <v>0</v>
      </c>
      <c r="S100" s="51">
        <v>0</v>
      </c>
      <c r="T100" s="51">
        <v>0</v>
      </c>
      <c r="U100" s="51">
        <v>0</v>
      </c>
      <c r="V100" s="51">
        <v>1850</v>
      </c>
      <c r="W100" s="51"/>
      <c r="X100" s="67">
        <f t="shared" si="17"/>
        <v>2687.34</v>
      </c>
      <c r="Y100" s="67">
        <v>1500</v>
      </c>
      <c r="Z100" s="67">
        <v>2000</v>
      </c>
      <c r="AA100" s="68" t="s">
        <v>258</v>
      </c>
    </row>
    <row r="101" spans="1:27" x14ac:dyDescent="0.3">
      <c r="A101" s="50"/>
      <c r="B101" s="50"/>
      <c r="C101" s="50"/>
      <c r="D101" s="50"/>
      <c r="E101" s="50"/>
      <c r="F101" s="50" t="s">
        <v>143</v>
      </c>
      <c r="G101" s="51"/>
      <c r="H101" s="51"/>
      <c r="I101" s="51"/>
      <c r="J101" s="51"/>
      <c r="K101" s="51">
        <v>2.99</v>
      </c>
      <c r="L101" s="51">
        <v>488.86</v>
      </c>
      <c r="M101" s="51">
        <v>346.22</v>
      </c>
      <c r="N101" s="51">
        <v>418.45</v>
      </c>
      <c r="O101" s="51">
        <v>349.26</v>
      </c>
      <c r="P101" s="51">
        <v>350.07</v>
      </c>
      <c r="Q101" s="51">
        <v>620.41999999999996</v>
      </c>
      <c r="R101" s="51">
        <v>349.84</v>
      </c>
      <c r="S101" s="51">
        <v>350.02</v>
      </c>
      <c r="T101" s="51">
        <v>496.21</v>
      </c>
      <c r="U101" s="51">
        <v>887.43</v>
      </c>
      <c r="V101" s="51">
        <v>361.82</v>
      </c>
      <c r="W101" s="51"/>
      <c r="X101" s="67">
        <f t="shared" si="17"/>
        <v>5021.59</v>
      </c>
      <c r="Y101" s="67">
        <v>7000</v>
      </c>
      <c r="Z101" s="67">
        <v>7000</v>
      </c>
      <c r="AA101" s="68"/>
    </row>
    <row r="102" spans="1:27" x14ac:dyDescent="0.3">
      <c r="A102" s="50"/>
      <c r="B102" s="50"/>
      <c r="C102" s="50"/>
      <c r="D102" s="50"/>
      <c r="E102" s="50"/>
      <c r="F102" s="50" t="s">
        <v>144</v>
      </c>
      <c r="G102" s="51"/>
      <c r="H102" s="51"/>
      <c r="I102" s="51"/>
      <c r="J102" s="51"/>
      <c r="K102" s="51">
        <v>0</v>
      </c>
      <c r="L102" s="51">
        <v>0</v>
      </c>
      <c r="M102" s="51">
        <v>0</v>
      </c>
      <c r="N102" s="51">
        <v>0</v>
      </c>
      <c r="O102" s="51">
        <v>0</v>
      </c>
      <c r="P102" s="51">
        <v>0</v>
      </c>
      <c r="Q102" s="51">
        <v>0</v>
      </c>
      <c r="R102" s="51">
        <v>0</v>
      </c>
      <c r="S102" s="51">
        <v>0</v>
      </c>
      <c r="T102" s="51">
        <v>0</v>
      </c>
      <c r="U102" s="51">
        <v>0</v>
      </c>
      <c r="V102" s="51">
        <v>0</v>
      </c>
      <c r="W102" s="51"/>
      <c r="X102" s="67">
        <f t="shared" si="17"/>
        <v>0</v>
      </c>
      <c r="Y102" s="67">
        <v>1200</v>
      </c>
      <c r="Z102" s="67">
        <v>0</v>
      </c>
      <c r="AA102" s="68" t="s">
        <v>248</v>
      </c>
    </row>
    <row r="103" spans="1:27" x14ac:dyDescent="0.3">
      <c r="A103" s="50"/>
      <c r="B103" s="50"/>
      <c r="C103" s="50"/>
      <c r="D103" s="50"/>
      <c r="E103" s="50"/>
      <c r="F103" s="50" t="s">
        <v>145</v>
      </c>
      <c r="G103" s="51"/>
      <c r="H103" s="51"/>
      <c r="I103" s="51"/>
      <c r="J103" s="51"/>
      <c r="K103" s="51">
        <v>195.95</v>
      </c>
      <c r="L103" s="51">
        <v>275.38</v>
      </c>
      <c r="M103" s="51">
        <v>60.79</v>
      </c>
      <c r="N103" s="51">
        <v>107.39</v>
      </c>
      <c r="O103" s="51">
        <v>191.56</v>
      </c>
      <c r="P103" s="51">
        <v>69.58</v>
      </c>
      <c r="Q103" s="51">
        <v>0</v>
      </c>
      <c r="R103" s="51">
        <v>89.08</v>
      </c>
      <c r="S103" s="51">
        <v>113.48</v>
      </c>
      <c r="T103" s="51">
        <v>162.65</v>
      </c>
      <c r="U103" s="51">
        <v>59.88</v>
      </c>
      <c r="V103" s="51">
        <v>17.399999999999999</v>
      </c>
      <c r="W103" s="51"/>
      <c r="X103" s="67">
        <f t="shared" si="17"/>
        <v>1343.14</v>
      </c>
      <c r="Y103" s="67">
        <v>3000</v>
      </c>
      <c r="Z103" s="67">
        <v>3000</v>
      </c>
      <c r="AA103" s="68"/>
    </row>
    <row r="104" spans="1:27" x14ac:dyDescent="0.3">
      <c r="A104" s="50"/>
      <c r="B104" s="50"/>
      <c r="C104" s="50"/>
      <c r="D104" s="50"/>
      <c r="E104" s="50"/>
      <c r="F104" s="50" t="s">
        <v>146</v>
      </c>
      <c r="G104" s="51"/>
      <c r="H104" s="51"/>
      <c r="I104" s="51"/>
      <c r="J104" s="51"/>
      <c r="K104" s="51">
        <v>110</v>
      </c>
      <c r="L104" s="51">
        <v>0</v>
      </c>
      <c r="M104" s="51">
        <v>136.35</v>
      </c>
      <c r="N104" s="51">
        <v>0</v>
      </c>
      <c r="O104" s="51">
        <v>0</v>
      </c>
      <c r="P104" s="51">
        <v>0</v>
      </c>
      <c r="Q104" s="51">
        <v>220</v>
      </c>
      <c r="R104" s="51">
        <v>0</v>
      </c>
      <c r="S104" s="51">
        <v>0</v>
      </c>
      <c r="T104" s="51">
        <v>44.39</v>
      </c>
      <c r="U104" s="51">
        <v>0</v>
      </c>
      <c r="V104" s="51">
        <v>240</v>
      </c>
      <c r="W104" s="51"/>
      <c r="X104" s="67">
        <f t="shared" si="17"/>
        <v>750.74</v>
      </c>
      <c r="Y104" s="67">
        <v>1000</v>
      </c>
      <c r="Z104" s="67">
        <v>1000</v>
      </c>
      <c r="AA104" s="68"/>
    </row>
    <row r="105" spans="1:27" x14ac:dyDescent="0.3">
      <c r="A105" s="50"/>
      <c r="B105" s="50"/>
      <c r="C105" s="50"/>
      <c r="D105" s="50"/>
      <c r="E105" s="50"/>
      <c r="F105" s="50" t="s">
        <v>147</v>
      </c>
      <c r="G105" s="51"/>
      <c r="H105" s="51"/>
      <c r="I105" s="51"/>
      <c r="J105" s="51"/>
      <c r="K105" s="51">
        <v>42.34</v>
      </c>
      <c r="L105" s="51">
        <v>0</v>
      </c>
      <c r="M105" s="51">
        <v>0</v>
      </c>
      <c r="N105" s="51">
        <v>0</v>
      </c>
      <c r="O105" s="51">
        <v>0</v>
      </c>
      <c r="P105" s="51">
        <v>0</v>
      </c>
      <c r="Q105" s="51">
        <v>0</v>
      </c>
      <c r="R105" s="51">
        <v>0</v>
      </c>
      <c r="S105" s="51">
        <v>0</v>
      </c>
      <c r="T105" s="51">
        <v>195.72</v>
      </c>
      <c r="U105" s="51">
        <v>570.48</v>
      </c>
      <c r="V105" s="51">
        <v>2.99</v>
      </c>
      <c r="W105" s="51"/>
      <c r="X105" s="67">
        <f t="shared" si="17"/>
        <v>811.53</v>
      </c>
      <c r="Y105" s="67">
        <v>4000</v>
      </c>
      <c r="Z105" s="67">
        <v>2500</v>
      </c>
      <c r="AA105" s="68"/>
    </row>
    <row r="106" spans="1:27" x14ac:dyDescent="0.3">
      <c r="A106" s="50"/>
      <c r="B106" s="50"/>
      <c r="C106" s="50"/>
      <c r="D106" s="50"/>
      <c r="E106" s="50"/>
      <c r="F106" s="50" t="s">
        <v>232</v>
      </c>
      <c r="G106" s="51"/>
      <c r="H106" s="51"/>
      <c r="I106" s="51"/>
      <c r="J106" s="51"/>
      <c r="K106" s="51">
        <v>0</v>
      </c>
      <c r="L106" s="51">
        <v>22.04</v>
      </c>
      <c r="M106" s="51">
        <v>0</v>
      </c>
      <c r="N106" s="51">
        <v>0</v>
      </c>
      <c r="O106" s="51">
        <v>0</v>
      </c>
      <c r="P106" s="51">
        <v>0</v>
      </c>
      <c r="Q106" s="51">
        <v>0</v>
      </c>
      <c r="R106" s="51">
        <v>0</v>
      </c>
      <c r="S106" s="51">
        <v>0</v>
      </c>
      <c r="T106" s="51">
        <v>0</v>
      </c>
      <c r="U106" s="51">
        <v>0</v>
      </c>
      <c r="V106" s="51">
        <v>0</v>
      </c>
      <c r="W106" s="51"/>
      <c r="X106" s="67">
        <f t="shared" si="17"/>
        <v>22.04</v>
      </c>
      <c r="Y106" s="67">
        <v>0</v>
      </c>
      <c r="Z106" s="67">
        <v>2400</v>
      </c>
      <c r="AA106" s="68" t="s">
        <v>249</v>
      </c>
    </row>
    <row r="107" spans="1:27" x14ac:dyDescent="0.3">
      <c r="A107" s="50"/>
      <c r="B107" s="50"/>
      <c r="C107" s="50"/>
      <c r="D107" s="50"/>
      <c r="E107" s="50"/>
      <c r="F107" s="50" t="s">
        <v>148</v>
      </c>
      <c r="G107" s="51"/>
      <c r="H107" s="51"/>
      <c r="I107" s="51"/>
      <c r="J107" s="51"/>
      <c r="K107" s="51">
        <v>116</v>
      </c>
      <c r="L107" s="51">
        <v>116</v>
      </c>
      <c r="M107" s="51">
        <v>241</v>
      </c>
      <c r="N107" s="51">
        <v>0</v>
      </c>
      <c r="O107" s="51">
        <v>115</v>
      </c>
      <c r="P107" s="51">
        <v>115</v>
      </c>
      <c r="Q107" s="51">
        <v>115</v>
      </c>
      <c r="R107" s="51">
        <v>230</v>
      </c>
      <c r="S107" s="51">
        <v>0</v>
      </c>
      <c r="T107" s="51">
        <v>115</v>
      </c>
      <c r="U107" s="51">
        <v>116</v>
      </c>
      <c r="V107" s="51">
        <v>116</v>
      </c>
      <c r="W107" s="51"/>
      <c r="X107" s="67">
        <f t="shared" si="17"/>
        <v>1395</v>
      </c>
      <c r="Y107" s="67">
        <v>1500</v>
      </c>
      <c r="Z107" s="67">
        <v>1400</v>
      </c>
      <c r="AA107" s="68"/>
    </row>
    <row r="108" spans="1:27" x14ac:dyDescent="0.3">
      <c r="A108" s="50"/>
      <c r="B108" s="50"/>
      <c r="C108" s="50"/>
      <c r="D108" s="50"/>
      <c r="E108" s="50"/>
      <c r="F108" s="50" t="s">
        <v>149</v>
      </c>
      <c r="G108" s="51"/>
      <c r="H108" s="51"/>
      <c r="I108" s="51"/>
      <c r="J108" s="51"/>
      <c r="K108" s="51">
        <v>278.04000000000002</v>
      </c>
      <c r="L108" s="51">
        <v>270.92</v>
      </c>
      <c r="M108" s="51">
        <v>259.54000000000002</v>
      </c>
      <c r="N108" s="51">
        <v>435.49</v>
      </c>
      <c r="O108" s="51">
        <v>221.98</v>
      </c>
      <c r="P108" s="51">
        <v>279.07</v>
      </c>
      <c r="Q108" s="51">
        <v>425.18</v>
      </c>
      <c r="R108" s="51">
        <v>276.11</v>
      </c>
      <c r="S108" s="51">
        <v>276.11</v>
      </c>
      <c r="T108" s="51">
        <v>463.17</v>
      </c>
      <c r="U108" s="51">
        <v>370.92</v>
      </c>
      <c r="V108" s="51">
        <v>400.19</v>
      </c>
      <c r="W108" s="51"/>
      <c r="X108" s="67">
        <f t="shared" si="17"/>
        <v>3956.72</v>
      </c>
      <c r="Y108" s="67">
        <v>4200</v>
      </c>
      <c r="Z108" s="67">
        <v>4100</v>
      </c>
      <c r="AA108" s="68"/>
    </row>
    <row r="109" spans="1:27" x14ac:dyDescent="0.3">
      <c r="A109" s="50"/>
      <c r="B109" s="50"/>
      <c r="C109" s="50"/>
      <c r="D109" s="50"/>
      <c r="E109" s="50"/>
      <c r="F109" s="50" t="s">
        <v>150</v>
      </c>
      <c r="G109" s="51"/>
      <c r="H109" s="51"/>
      <c r="I109" s="51"/>
      <c r="J109" s="51"/>
      <c r="K109" s="51">
        <v>0</v>
      </c>
      <c r="L109" s="51">
        <v>8240</v>
      </c>
      <c r="M109" s="51">
        <v>2060</v>
      </c>
      <c r="N109" s="51">
        <v>0</v>
      </c>
      <c r="O109" s="51">
        <v>0</v>
      </c>
      <c r="P109" s="51">
        <v>0</v>
      </c>
      <c r="Q109" s="51">
        <v>0</v>
      </c>
      <c r="R109" s="51">
        <v>0</v>
      </c>
      <c r="S109" s="51">
        <v>0</v>
      </c>
      <c r="T109" s="51">
        <v>0</v>
      </c>
      <c r="U109" s="51">
        <v>0</v>
      </c>
      <c r="V109" s="51">
        <v>0</v>
      </c>
      <c r="W109" s="51"/>
      <c r="X109" s="67">
        <f t="shared" si="17"/>
        <v>10300</v>
      </c>
      <c r="Y109" s="67">
        <v>12000</v>
      </c>
      <c r="Z109" s="67">
        <v>11000</v>
      </c>
      <c r="AA109" s="68"/>
    </row>
    <row r="110" spans="1:27" x14ac:dyDescent="0.3">
      <c r="A110" s="50"/>
      <c r="B110" s="50"/>
      <c r="C110" s="50"/>
      <c r="D110" s="50"/>
      <c r="E110" s="50"/>
      <c r="F110" s="50" t="s">
        <v>151</v>
      </c>
      <c r="G110" s="51"/>
      <c r="H110" s="51"/>
      <c r="I110" s="51"/>
      <c r="J110" s="51"/>
      <c r="K110" s="51">
        <v>1023.75</v>
      </c>
      <c r="L110" s="51">
        <v>1102.5</v>
      </c>
      <c r="M110" s="51">
        <v>1155</v>
      </c>
      <c r="N110" s="51">
        <v>551.25</v>
      </c>
      <c r="O110" s="51">
        <v>813.75</v>
      </c>
      <c r="P110" s="51">
        <v>341.25</v>
      </c>
      <c r="Q110" s="51">
        <v>446.25</v>
      </c>
      <c r="R110" s="51">
        <v>632.5</v>
      </c>
      <c r="S110" s="51">
        <v>797.5</v>
      </c>
      <c r="T110" s="51">
        <v>972.9</v>
      </c>
      <c r="U110" s="51">
        <v>813.75</v>
      </c>
      <c r="V110" s="51">
        <v>971.25</v>
      </c>
      <c r="W110" s="51"/>
      <c r="X110" s="67">
        <f t="shared" si="17"/>
        <v>9621.65</v>
      </c>
      <c r="Y110" s="67">
        <v>8500</v>
      </c>
      <c r="Z110" s="67">
        <v>9500</v>
      </c>
      <c r="AA110" s="68" t="s">
        <v>248</v>
      </c>
    </row>
    <row r="111" spans="1:27" x14ac:dyDescent="0.3">
      <c r="A111" s="50"/>
      <c r="B111" s="50"/>
      <c r="C111" s="50"/>
      <c r="D111" s="50"/>
      <c r="E111" s="50"/>
      <c r="F111" s="50" t="s">
        <v>200</v>
      </c>
      <c r="G111" s="51"/>
      <c r="H111" s="51"/>
      <c r="I111" s="51"/>
      <c r="J111" s="51"/>
      <c r="K111" s="51">
        <v>0</v>
      </c>
      <c r="L111" s="51">
        <v>0</v>
      </c>
      <c r="M111" s="51">
        <v>0</v>
      </c>
      <c r="N111" s="51">
        <v>0</v>
      </c>
      <c r="O111" s="51">
        <v>0</v>
      </c>
      <c r="P111" s="51">
        <v>0</v>
      </c>
      <c r="Q111" s="51">
        <v>0</v>
      </c>
      <c r="R111" s="51">
        <v>0</v>
      </c>
      <c r="S111" s="51">
        <v>0</v>
      </c>
      <c r="T111" s="51">
        <v>0</v>
      </c>
      <c r="U111" s="51">
        <v>0</v>
      </c>
      <c r="V111" s="51">
        <v>0</v>
      </c>
      <c r="W111" s="51"/>
      <c r="X111" s="67">
        <f t="shared" si="17"/>
        <v>0</v>
      </c>
      <c r="Y111" s="67">
        <v>9000</v>
      </c>
      <c r="Z111" s="67">
        <v>9000</v>
      </c>
      <c r="AA111" s="68"/>
    </row>
    <row r="112" spans="1:27" x14ac:dyDescent="0.3">
      <c r="A112" s="50"/>
      <c r="B112" s="50"/>
      <c r="C112" s="50"/>
      <c r="D112" s="50"/>
      <c r="E112" s="50"/>
      <c r="F112" s="50" t="s">
        <v>233</v>
      </c>
      <c r="G112" s="51"/>
      <c r="H112" s="51"/>
      <c r="I112" s="51"/>
      <c r="J112" s="51"/>
      <c r="K112" s="51">
        <v>0</v>
      </c>
      <c r="L112" s="51">
        <v>0</v>
      </c>
      <c r="M112" s="51">
        <v>0</v>
      </c>
      <c r="N112" s="51">
        <v>0</v>
      </c>
      <c r="O112" s="51">
        <v>0</v>
      </c>
      <c r="P112" s="51">
        <v>0</v>
      </c>
      <c r="Q112" s="51">
        <v>375</v>
      </c>
      <c r="R112" s="51">
        <v>0</v>
      </c>
      <c r="S112" s="51">
        <v>0</v>
      </c>
      <c r="T112" s="51">
        <v>0</v>
      </c>
      <c r="U112" s="51">
        <v>0</v>
      </c>
      <c r="V112" s="51">
        <v>0</v>
      </c>
      <c r="W112" s="51"/>
      <c r="X112" s="67">
        <f t="shared" si="17"/>
        <v>375</v>
      </c>
      <c r="Y112" s="67">
        <v>200</v>
      </c>
      <c r="Z112" s="67">
        <v>400</v>
      </c>
      <c r="AA112" s="68" t="s">
        <v>250</v>
      </c>
    </row>
    <row r="113" spans="1:31" x14ac:dyDescent="0.3">
      <c r="A113" s="50"/>
      <c r="B113" s="50"/>
      <c r="C113" s="50"/>
      <c r="D113" s="50"/>
      <c r="E113" s="50"/>
      <c r="F113" s="50" t="s">
        <v>152</v>
      </c>
      <c r="G113" s="51"/>
      <c r="H113" s="51"/>
      <c r="I113" s="51"/>
      <c r="J113" s="51"/>
      <c r="K113" s="51">
        <v>540</v>
      </c>
      <c r="L113" s="51">
        <v>60</v>
      </c>
      <c r="M113" s="51">
        <v>0</v>
      </c>
      <c r="N113" s="51">
        <v>0</v>
      </c>
      <c r="O113" s="51">
        <v>650</v>
      </c>
      <c r="P113" s="51">
        <v>1360</v>
      </c>
      <c r="Q113" s="51">
        <v>170</v>
      </c>
      <c r="R113" s="51">
        <v>60</v>
      </c>
      <c r="S113" s="51">
        <v>1700</v>
      </c>
      <c r="T113" s="51">
        <v>0</v>
      </c>
      <c r="U113" s="51">
        <v>1245</v>
      </c>
      <c r="V113" s="51">
        <v>1215</v>
      </c>
      <c r="W113" s="51"/>
      <c r="X113" s="67">
        <f t="shared" si="17"/>
        <v>7000</v>
      </c>
      <c r="Y113" s="67">
        <v>30000</v>
      </c>
      <c r="Z113" s="67">
        <v>30000</v>
      </c>
      <c r="AA113" s="68" t="s">
        <v>251</v>
      </c>
    </row>
    <row r="114" spans="1:31" x14ac:dyDescent="0.3">
      <c r="A114" s="50"/>
      <c r="B114" s="50"/>
      <c r="C114" s="50"/>
      <c r="D114" s="50"/>
      <c r="E114" s="50"/>
      <c r="F114" s="50" t="s">
        <v>153</v>
      </c>
      <c r="G114" s="51"/>
      <c r="H114" s="51"/>
      <c r="I114" s="51"/>
      <c r="J114" s="51"/>
      <c r="K114" s="51">
        <v>445.33</v>
      </c>
      <c r="L114" s="51">
        <v>445.33</v>
      </c>
      <c r="M114" s="51">
        <v>445.33</v>
      </c>
      <c r="N114" s="51">
        <v>365.4</v>
      </c>
      <c r="O114" s="51">
        <v>365.4</v>
      </c>
      <c r="P114" s="51">
        <v>365.4</v>
      </c>
      <c r="Q114" s="51">
        <v>445.33</v>
      </c>
      <c r="R114" s="51">
        <v>445.33</v>
      </c>
      <c r="S114" s="51">
        <v>445.33</v>
      </c>
      <c r="T114" s="51">
        <v>445.33</v>
      </c>
      <c r="U114" s="51">
        <v>445.33</v>
      </c>
      <c r="V114" s="51">
        <v>445.33</v>
      </c>
      <c r="W114" s="51"/>
      <c r="X114" s="67">
        <f t="shared" si="17"/>
        <v>5104.17</v>
      </c>
      <c r="Y114" s="67">
        <v>5400</v>
      </c>
      <c r="Z114" s="67">
        <v>5400</v>
      </c>
      <c r="AA114" s="68"/>
    </row>
    <row r="115" spans="1:31" x14ac:dyDescent="0.3">
      <c r="A115" s="50"/>
      <c r="B115" s="50"/>
      <c r="C115" s="50"/>
      <c r="D115" s="50"/>
      <c r="E115" s="50"/>
      <c r="F115" s="50" t="s">
        <v>154</v>
      </c>
      <c r="G115" s="51"/>
      <c r="H115" s="51"/>
      <c r="I115" s="51"/>
      <c r="J115" s="51"/>
      <c r="K115" s="51">
        <v>0</v>
      </c>
      <c r="L115" s="51">
        <v>0</v>
      </c>
      <c r="M115" s="51">
        <v>384</v>
      </c>
      <c r="N115" s="51">
        <v>0</v>
      </c>
      <c r="O115" s="51">
        <v>469.18</v>
      </c>
      <c r="P115" s="51">
        <v>103.23</v>
      </c>
      <c r="Q115" s="51">
        <v>0</v>
      </c>
      <c r="R115" s="51">
        <v>0</v>
      </c>
      <c r="S115" s="51">
        <v>0</v>
      </c>
      <c r="T115" s="51">
        <v>0</v>
      </c>
      <c r="U115" s="51">
        <v>0</v>
      </c>
      <c r="V115" s="51">
        <v>0</v>
      </c>
      <c r="W115" s="51"/>
      <c r="X115" s="67">
        <f t="shared" si="17"/>
        <v>956.41</v>
      </c>
      <c r="Y115" s="67">
        <v>1800</v>
      </c>
      <c r="Z115" s="67">
        <v>1800</v>
      </c>
      <c r="AA115" s="68"/>
    </row>
    <row r="116" spans="1:31" x14ac:dyDescent="0.3">
      <c r="A116" s="50"/>
      <c r="B116" s="50"/>
      <c r="C116" s="50"/>
      <c r="D116" s="50"/>
      <c r="E116" s="50"/>
      <c r="F116" s="50" t="s">
        <v>238</v>
      </c>
      <c r="G116" s="51"/>
      <c r="H116" s="51"/>
      <c r="I116" s="51"/>
      <c r="J116" s="51"/>
      <c r="K116" s="51">
        <v>0</v>
      </c>
      <c r="L116" s="51">
        <v>0</v>
      </c>
      <c r="M116" s="51">
        <v>0</v>
      </c>
      <c r="N116" s="51">
        <v>0</v>
      </c>
      <c r="O116" s="51">
        <v>0</v>
      </c>
      <c r="P116" s="51">
        <v>0</v>
      </c>
      <c r="Q116" s="51">
        <v>0</v>
      </c>
      <c r="R116" s="51">
        <v>0</v>
      </c>
      <c r="S116" s="51">
        <v>0</v>
      </c>
      <c r="T116" s="51">
        <v>0</v>
      </c>
      <c r="U116" s="51">
        <v>0</v>
      </c>
      <c r="V116" s="51">
        <v>0</v>
      </c>
      <c r="W116" s="51"/>
      <c r="X116" s="67">
        <f t="shared" si="17"/>
        <v>0</v>
      </c>
      <c r="Y116" s="67">
        <v>250</v>
      </c>
      <c r="Z116" s="67">
        <v>300</v>
      </c>
      <c r="AA116" s="68"/>
    </row>
    <row r="117" spans="1:31" x14ac:dyDescent="0.3">
      <c r="A117" s="50"/>
      <c r="B117" s="50"/>
      <c r="C117" s="50"/>
      <c r="D117" s="50"/>
      <c r="E117" s="50"/>
      <c r="F117" s="50" t="s">
        <v>155</v>
      </c>
      <c r="G117" s="51"/>
      <c r="H117" s="51"/>
      <c r="I117" s="51"/>
      <c r="J117" s="51"/>
      <c r="K117" s="51">
        <v>0</v>
      </c>
      <c r="L117" s="51">
        <v>0</v>
      </c>
      <c r="M117" s="51">
        <v>0</v>
      </c>
      <c r="N117" s="51">
        <v>0</v>
      </c>
      <c r="O117" s="51">
        <v>0</v>
      </c>
      <c r="P117" s="51">
        <v>0</v>
      </c>
      <c r="Q117" s="51">
        <v>0</v>
      </c>
      <c r="R117" s="51">
        <v>0</v>
      </c>
      <c r="S117" s="51">
        <v>0</v>
      </c>
      <c r="T117" s="51">
        <v>0</v>
      </c>
      <c r="U117" s="51">
        <v>63</v>
      </c>
      <c r="V117" s="51">
        <v>0</v>
      </c>
      <c r="W117" s="51"/>
      <c r="X117" s="67">
        <f t="shared" si="17"/>
        <v>63</v>
      </c>
      <c r="Y117" s="67">
        <v>2500</v>
      </c>
      <c r="Z117" s="67">
        <v>2500</v>
      </c>
      <c r="AA117" s="68"/>
    </row>
    <row r="118" spans="1:31" x14ac:dyDescent="0.3">
      <c r="A118" s="50"/>
      <c r="B118" s="50"/>
      <c r="C118" s="50"/>
      <c r="D118" s="50"/>
      <c r="E118" s="50"/>
      <c r="F118" s="50" t="s">
        <v>156</v>
      </c>
      <c r="G118" s="51"/>
      <c r="H118" s="51"/>
      <c r="I118" s="51"/>
      <c r="J118" s="51"/>
      <c r="K118" s="51">
        <v>0</v>
      </c>
      <c r="L118" s="51">
        <v>378</v>
      </c>
      <c r="M118" s="51">
        <v>425</v>
      </c>
      <c r="N118" s="51">
        <v>0</v>
      </c>
      <c r="O118" s="51">
        <v>100</v>
      </c>
      <c r="P118" s="51">
        <v>0</v>
      </c>
      <c r="Q118" s="51">
        <v>99</v>
      </c>
      <c r="R118" s="51">
        <v>-100</v>
      </c>
      <c r="S118" s="51">
        <v>0</v>
      </c>
      <c r="T118" s="51">
        <v>0</v>
      </c>
      <c r="U118" s="51">
        <v>0</v>
      </c>
      <c r="V118" s="51">
        <v>0</v>
      </c>
      <c r="W118" s="51"/>
      <c r="X118" s="67">
        <f t="shared" si="17"/>
        <v>902</v>
      </c>
      <c r="Y118" s="67">
        <v>30000</v>
      </c>
      <c r="Z118" s="67">
        <v>30000</v>
      </c>
      <c r="AA118" s="68" t="s">
        <v>251</v>
      </c>
    </row>
    <row r="119" spans="1:31" x14ac:dyDescent="0.3">
      <c r="A119" s="50"/>
      <c r="B119" s="50"/>
      <c r="C119" s="50"/>
      <c r="D119" s="50"/>
      <c r="E119" s="50"/>
      <c r="F119" s="50" t="s">
        <v>157</v>
      </c>
      <c r="G119" s="51"/>
      <c r="H119" s="51"/>
      <c r="I119" s="51"/>
      <c r="J119" s="51"/>
      <c r="K119" s="51">
        <v>0</v>
      </c>
      <c r="L119" s="51">
        <v>75.34</v>
      </c>
      <c r="M119" s="51">
        <v>66.03</v>
      </c>
      <c r="N119" s="51">
        <v>100.89</v>
      </c>
      <c r="O119" s="51">
        <v>0</v>
      </c>
      <c r="P119" s="51">
        <v>0</v>
      </c>
      <c r="Q119" s="51">
        <v>43.21</v>
      </c>
      <c r="R119" s="51">
        <v>147.96</v>
      </c>
      <c r="S119" s="51">
        <v>64.540000000000006</v>
      </c>
      <c r="T119" s="51">
        <v>0</v>
      </c>
      <c r="U119" s="51">
        <v>0</v>
      </c>
      <c r="V119" s="51">
        <v>45.66</v>
      </c>
      <c r="W119" s="51"/>
      <c r="X119" s="67">
        <f t="shared" si="17"/>
        <v>543.63</v>
      </c>
      <c r="Y119" s="67">
        <v>2000</v>
      </c>
      <c r="Z119" s="67">
        <v>2000</v>
      </c>
      <c r="AA119" s="68"/>
    </row>
    <row r="120" spans="1:31" x14ac:dyDescent="0.3">
      <c r="A120" s="50"/>
      <c r="B120" s="50"/>
      <c r="C120" s="50"/>
      <c r="D120" s="50"/>
      <c r="E120" s="50"/>
      <c r="F120" s="50" t="s">
        <v>158</v>
      </c>
      <c r="G120" s="51"/>
      <c r="H120" s="51"/>
      <c r="I120" s="51"/>
      <c r="J120" s="51"/>
      <c r="K120" s="51">
        <v>0</v>
      </c>
      <c r="L120" s="51">
        <v>0</v>
      </c>
      <c r="M120" s="51">
        <v>0</v>
      </c>
      <c r="N120" s="51">
        <v>0</v>
      </c>
      <c r="O120" s="51">
        <v>0</v>
      </c>
      <c r="P120" s="51">
        <v>275.2</v>
      </c>
      <c r="Q120" s="51">
        <v>0</v>
      </c>
      <c r="R120" s="51">
        <v>0</v>
      </c>
      <c r="S120" s="51">
        <v>0</v>
      </c>
      <c r="T120" s="51">
        <v>0</v>
      </c>
      <c r="U120" s="51">
        <v>0</v>
      </c>
      <c r="V120" s="51">
        <v>0</v>
      </c>
      <c r="W120" s="51"/>
      <c r="X120" s="67">
        <f t="shared" si="17"/>
        <v>275.2</v>
      </c>
      <c r="Y120" s="67">
        <v>5000</v>
      </c>
      <c r="Z120" s="67">
        <v>5000</v>
      </c>
      <c r="AA120" s="68"/>
    </row>
    <row r="121" spans="1:31" x14ac:dyDescent="0.3">
      <c r="A121" s="50"/>
      <c r="B121" s="50"/>
      <c r="C121" s="50"/>
      <c r="D121" s="50"/>
      <c r="E121" s="50"/>
      <c r="F121" s="50" t="s">
        <v>159</v>
      </c>
      <c r="G121" s="51"/>
      <c r="H121" s="51"/>
      <c r="I121" s="51"/>
      <c r="J121" s="51"/>
      <c r="K121" s="51">
        <v>66.88</v>
      </c>
      <c r="L121" s="51">
        <v>157.94</v>
      </c>
      <c r="M121" s="51">
        <v>166.05</v>
      </c>
      <c r="N121" s="51">
        <v>0</v>
      </c>
      <c r="O121" s="51">
        <v>0</v>
      </c>
      <c r="P121" s="51">
        <v>0</v>
      </c>
      <c r="Q121" s="51">
        <v>0</v>
      </c>
      <c r="R121" s="51">
        <v>0</v>
      </c>
      <c r="S121" s="51">
        <v>248.76</v>
      </c>
      <c r="T121" s="51">
        <v>0</v>
      </c>
      <c r="U121" s="51">
        <v>127.06</v>
      </c>
      <c r="V121" s="51">
        <v>76.099999999999994</v>
      </c>
      <c r="W121" s="51"/>
      <c r="X121" s="67">
        <f t="shared" si="17"/>
        <v>842.79</v>
      </c>
      <c r="Y121" s="67">
        <v>2500</v>
      </c>
      <c r="Z121" s="67">
        <v>2500</v>
      </c>
      <c r="AA121" s="68"/>
    </row>
    <row r="122" spans="1:31" x14ac:dyDescent="0.3">
      <c r="A122" s="50"/>
      <c r="B122" s="50"/>
      <c r="C122" s="50"/>
      <c r="D122" s="50"/>
      <c r="E122" s="50"/>
      <c r="F122" s="50" t="s">
        <v>160</v>
      </c>
      <c r="G122" s="51"/>
      <c r="H122" s="51"/>
      <c r="I122" s="51"/>
      <c r="J122" s="51"/>
      <c r="K122" s="51">
        <v>50</v>
      </c>
      <c r="L122" s="51">
        <v>50</v>
      </c>
      <c r="M122" s="51">
        <v>0</v>
      </c>
      <c r="N122" s="51">
        <v>0</v>
      </c>
      <c r="O122" s="51">
        <v>150</v>
      </c>
      <c r="P122" s="51">
        <v>100</v>
      </c>
      <c r="Q122" s="51">
        <v>50</v>
      </c>
      <c r="R122" s="51">
        <v>0</v>
      </c>
      <c r="S122" s="51">
        <v>0</v>
      </c>
      <c r="T122" s="51">
        <v>50</v>
      </c>
      <c r="U122" s="51">
        <v>50</v>
      </c>
      <c r="V122" s="51">
        <v>50</v>
      </c>
      <c r="W122" s="51"/>
      <c r="X122" s="67">
        <f t="shared" si="17"/>
        <v>550</v>
      </c>
      <c r="Y122" s="67">
        <v>800</v>
      </c>
      <c r="Z122" s="67">
        <v>800</v>
      </c>
      <c r="AA122" s="68"/>
    </row>
    <row r="123" spans="1:31" ht="15" thickBot="1" x14ac:dyDescent="0.35">
      <c r="A123" s="50"/>
      <c r="B123" s="50"/>
      <c r="C123" s="50"/>
      <c r="D123" s="50"/>
      <c r="E123" s="50"/>
      <c r="F123" s="50" t="s">
        <v>161</v>
      </c>
      <c r="G123" s="52"/>
      <c r="H123" s="52"/>
      <c r="I123" s="52"/>
      <c r="J123" s="52"/>
      <c r="K123" s="52">
        <v>135.31</v>
      </c>
      <c r="L123" s="52">
        <v>0</v>
      </c>
      <c r="M123" s="52">
        <v>93.71</v>
      </c>
      <c r="N123" s="52">
        <v>72.73</v>
      </c>
      <c r="O123" s="52">
        <v>304.77999999999997</v>
      </c>
      <c r="P123" s="52">
        <v>41.26</v>
      </c>
      <c r="Q123" s="52">
        <v>24.99</v>
      </c>
      <c r="R123" s="52">
        <v>87.21</v>
      </c>
      <c r="S123" s="52">
        <v>51.92</v>
      </c>
      <c r="T123" s="52">
        <v>91.27</v>
      </c>
      <c r="U123" s="52">
        <v>51.85</v>
      </c>
      <c r="V123" s="52">
        <v>209.36</v>
      </c>
      <c r="W123" s="52"/>
      <c r="X123" s="69">
        <f t="shared" si="17"/>
        <v>1164.3900000000001</v>
      </c>
      <c r="Y123" s="69">
        <v>1600</v>
      </c>
      <c r="Z123" s="69">
        <v>1600</v>
      </c>
      <c r="AA123" s="70"/>
    </row>
    <row r="124" spans="1:31" x14ac:dyDescent="0.3">
      <c r="A124" s="50"/>
      <c r="B124" s="50"/>
      <c r="C124" s="50"/>
      <c r="D124" s="50"/>
      <c r="E124" s="50" t="s">
        <v>162</v>
      </c>
      <c r="F124" s="50"/>
      <c r="G124" s="51"/>
      <c r="H124" s="51"/>
      <c r="I124" s="51"/>
      <c r="J124" s="51"/>
      <c r="K124" s="51">
        <f t="shared" ref="K124:V124" si="18">ROUND(SUM(K92:K123),5)</f>
        <v>4929.17</v>
      </c>
      <c r="L124" s="51">
        <f t="shared" si="18"/>
        <v>14242.92</v>
      </c>
      <c r="M124" s="51">
        <f t="shared" si="18"/>
        <v>8152.11</v>
      </c>
      <c r="N124" s="51">
        <f t="shared" si="18"/>
        <v>4982.71</v>
      </c>
      <c r="O124" s="51">
        <f t="shared" si="18"/>
        <v>6733.26</v>
      </c>
      <c r="P124" s="51">
        <f t="shared" si="18"/>
        <v>7174.94</v>
      </c>
      <c r="Q124" s="51">
        <f t="shared" si="18"/>
        <v>5153.53</v>
      </c>
      <c r="R124" s="51">
        <f t="shared" si="18"/>
        <v>4437.3500000000004</v>
      </c>
      <c r="S124" s="51">
        <f t="shared" si="18"/>
        <v>6705.44</v>
      </c>
      <c r="T124" s="51">
        <f t="shared" si="18"/>
        <v>6301.27</v>
      </c>
      <c r="U124" s="51">
        <f t="shared" si="18"/>
        <v>6681.79</v>
      </c>
      <c r="V124" s="51">
        <f t="shared" si="18"/>
        <v>8959.83</v>
      </c>
      <c r="W124" s="51"/>
      <c r="X124" s="67">
        <f t="shared" si="17"/>
        <v>84454.32</v>
      </c>
      <c r="Y124" s="67">
        <f>ROUND(SUM(Y92:Y123),5)</f>
        <v>171350</v>
      </c>
      <c r="Z124" s="67">
        <f>ROUND(SUM(Z92:Z123),5)</f>
        <v>172150</v>
      </c>
      <c r="AA124" s="68"/>
    </row>
    <row r="125" spans="1:31" x14ac:dyDescent="0.3">
      <c r="A125" s="50"/>
      <c r="B125" s="50"/>
      <c r="C125" s="50"/>
      <c r="D125" s="50"/>
      <c r="E125" s="50"/>
      <c r="F125" s="50"/>
      <c r="G125" s="51"/>
      <c r="H125" s="51"/>
      <c r="I125" s="51"/>
      <c r="J125" s="51"/>
      <c r="K125" s="51"/>
      <c r="L125" s="51"/>
      <c r="M125" s="51"/>
      <c r="N125" s="51"/>
      <c r="O125" s="51"/>
      <c r="P125" s="51"/>
      <c r="Q125" s="51"/>
      <c r="R125" s="51"/>
      <c r="S125" s="51"/>
      <c r="T125" s="51"/>
      <c r="U125" s="51"/>
      <c r="V125" s="51"/>
      <c r="W125" s="51"/>
      <c r="X125" s="67"/>
      <c r="Y125" s="67"/>
      <c r="Z125" s="67"/>
      <c r="AA125" s="68"/>
      <c r="AE125" s="67"/>
    </row>
    <row r="126" spans="1:31" x14ac:dyDescent="0.3">
      <c r="A126" s="50"/>
      <c r="B126" s="50"/>
      <c r="C126" s="50"/>
      <c r="D126" s="50"/>
      <c r="E126" s="50"/>
      <c r="F126" s="50"/>
      <c r="G126" s="51"/>
      <c r="H126" s="51"/>
      <c r="I126" s="51"/>
      <c r="J126" s="51"/>
      <c r="K126" s="51"/>
      <c r="L126" s="51"/>
      <c r="M126" s="51"/>
      <c r="N126" s="51"/>
      <c r="O126" s="51"/>
      <c r="P126" s="51"/>
      <c r="Q126" s="51"/>
      <c r="R126" s="51"/>
      <c r="S126" s="51"/>
      <c r="T126" s="51"/>
      <c r="U126" s="51"/>
      <c r="V126" s="51"/>
      <c r="W126" s="51"/>
      <c r="X126" s="67"/>
      <c r="Y126" s="67"/>
      <c r="Z126" s="67"/>
      <c r="AA126" s="68"/>
    </row>
    <row r="127" spans="1:31" x14ac:dyDescent="0.3">
      <c r="A127" s="50"/>
      <c r="B127" s="50"/>
      <c r="C127" s="50"/>
      <c r="D127" s="50"/>
      <c r="E127" s="50"/>
      <c r="F127" s="50"/>
      <c r="G127" s="51"/>
      <c r="H127" s="51"/>
      <c r="I127" s="51"/>
      <c r="J127" s="51"/>
      <c r="K127" s="51"/>
      <c r="L127" s="51"/>
      <c r="M127" s="51"/>
      <c r="N127" s="51"/>
      <c r="O127" s="51"/>
      <c r="P127" s="51"/>
      <c r="Q127" s="51"/>
      <c r="R127" s="51"/>
      <c r="S127" s="51"/>
      <c r="T127" s="51"/>
      <c r="U127" s="51"/>
      <c r="V127" s="51"/>
      <c r="W127" s="51"/>
      <c r="X127" s="67"/>
      <c r="Y127" s="67"/>
      <c r="Z127" s="67"/>
      <c r="AA127" s="68"/>
    </row>
    <row r="128" spans="1:31" x14ac:dyDescent="0.3">
      <c r="A128" s="50"/>
      <c r="B128" s="50"/>
      <c r="C128" s="50"/>
      <c r="D128" s="50"/>
      <c r="E128" s="50"/>
      <c r="F128" s="50"/>
      <c r="G128" s="51"/>
      <c r="H128" s="51"/>
      <c r="I128" s="51"/>
      <c r="J128" s="51"/>
      <c r="K128" s="51"/>
      <c r="L128" s="51"/>
      <c r="M128" s="51"/>
      <c r="N128" s="51"/>
      <c r="O128" s="51"/>
      <c r="P128" s="51"/>
      <c r="Q128" s="51"/>
      <c r="R128" s="51"/>
      <c r="S128" s="51"/>
      <c r="T128" s="51"/>
      <c r="U128" s="51"/>
      <c r="V128" s="51"/>
      <c r="W128" s="51"/>
      <c r="X128" s="67"/>
      <c r="Y128" s="67"/>
      <c r="Z128" s="67"/>
      <c r="AA128" s="68"/>
    </row>
    <row r="129" spans="1:31" x14ac:dyDescent="0.3">
      <c r="A129" s="50"/>
      <c r="B129" s="50"/>
      <c r="C129" s="50"/>
      <c r="D129" s="50"/>
      <c r="E129" s="50"/>
      <c r="F129" s="50"/>
      <c r="G129" s="51"/>
      <c r="H129" s="51"/>
      <c r="I129" s="51"/>
      <c r="J129" s="51"/>
      <c r="K129" s="51"/>
      <c r="L129" s="51"/>
      <c r="M129" s="51"/>
      <c r="N129" s="51"/>
      <c r="O129" s="51"/>
      <c r="P129" s="51"/>
      <c r="Q129" s="51"/>
      <c r="R129" s="51"/>
      <c r="S129" s="51"/>
      <c r="T129" s="51"/>
      <c r="U129" s="51"/>
      <c r="V129" s="51"/>
      <c r="W129" s="51"/>
      <c r="X129" s="67"/>
      <c r="Y129" s="67"/>
      <c r="Z129" s="67"/>
      <c r="AA129" s="68"/>
    </row>
    <row r="130" spans="1:31" x14ac:dyDescent="0.3">
      <c r="A130" s="50"/>
      <c r="B130" s="50"/>
      <c r="C130" s="50"/>
      <c r="D130" s="50"/>
      <c r="E130" s="50"/>
      <c r="F130" s="50"/>
      <c r="G130" s="51"/>
      <c r="H130" s="51"/>
      <c r="I130" s="51"/>
      <c r="J130" s="51"/>
      <c r="K130" s="51"/>
      <c r="L130" s="51"/>
      <c r="M130" s="51"/>
      <c r="N130" s="51"/>
      <c r="O130" s="51"/>
      <c r="P130" s="51"/>
      <c r="Q130" s="51"/>
      <c r="R130" s="51"/>
      <c r="S130" s="51"/>
      <c r="T130" s="51"/>
      <c r="U130" s="51"/>
      <c r="V130" s="51"/>
      <c r="W130" s="51"/>
      <c r="X130" s="67"/>
      <c r="Y130" s="67"/>
      <c r="Z130" s="67"/>
      <c r="AA130" s="68"/>
    </row>
    <row r="131" spans="1:31" x14ac:dyDescent="0.3">
      <c r="A131" s="50"/>
      <c r="B131" s="50"/>
      <c r="C131" s="50"/>
      <c r="D131" s="50"/>
      <c r="E131" s="50"/>
      <c r="F131" s="50"/>
      <c r="G131" s="51"/>
      <c r="H131" s="51"/>
      <c r="I131" s="51"/>
      <c r="J131" s="51"/>
      <c r="K131" s="51"/>
      <c r="L131" s="51"/>
      <c r="M131" s="51"/>
      <c r="N131" s="51"/>
      <c r="O131" s="51"/>
      <c r="P131" s="51"/>
      <c r="Q131" s="51"/>
      <c r="R131" s="51"/>
      <c r="S131" s="51"/>
      <c r="T131" s="51"/>
      <c r="U131" s="51"/>
      <c r="V131" s="51"/>
      <c r="W131" s="51"/>
      <c r="X131" s="67"/>
      <c r="Y131" s="67"/>
      <c r="Z131" s="67"/>
      <c r="AA131" s="68"/>
    </row>
    <row r="132" spans="1:31" x14ac:dyDescent="0.3">
      <c r="A132" s="50"/>
      <c r="B132" s="50"/>
      <c r="C132" s="50"/>
      <c r="D132" s="50"/>
      <c r="E132" s="50"/>
      <c r="F132" s="50"/>
      <c r="G132" s="51"/>
      <c r="H132" s="51"/>
      <c r="I132" s="51"/>
      <c r="J132" s="51"/>
      <c r="K132" s="51"/>
      <c r="L132" s="51"/>
      <c r="M132" s="51"/>
      <c r="N132" s="51"/>
      <c r="O132" s="51"/>
      <c r="P132" s="51"/>
      <c r="Q132" s="51"/>
      <c r="R132" s="51"/>
      <c r="S132" s="51"/>
      <c r="T132" s="51"/>
      <c r="U132" s="51"/>
      <c r="V132" s="51"/>
      <c r="W132" s="51"/>
      <c r="X132" s="67"/>
      <c r="Y132" s="67"/>
      <c r="Z132" s="67"/>
      <c r="AA132" s="68"/>
    </row>
    <row r="133" spans="1:31" x14ac:dyDescent="0.3">
      <c r="A133" s="50"/>
      <c r="B133" s="50"/>
      <c r="C133" s="50"/>
      <c r="D133" s="50"/>
      <c r="E133" s="50"/>
      <c r="F133" s="50"/>
      <c r="G133" s="51"/>
      <c r="H133" s="51"/>
      <c r="I133" s="51"/>
      <c r="J133" s="51"/>
      <c r="K133" s="51"/>
      <c r="L133" s="51"/>
      <c r="M133" s="51"/>
      <c r="N133" s="51"/>
      <c r="O133" s="51"/>
      <c r="P133" s="51"/>
      <c r="Q133" s="51"/>
      <c r="R133" s="51"/>
      <c r="S133" s="51"/>
      <c r="T133" s="51"/>
      <c r="U133" s="51"/>
      <c r="V133" s="51"/>
      <c r="W133" s="51"/>
      <c r="X133" s="67"/>
      <c r="Y133" s="67"/>
      <c r="Z133" s="67"/>
      <c r="AA133" s="68"/>
      <c r="AE133" s="62"/>
    </row>
    <row r="134" spans="1:31" x14ac:dyDescent="0.3">
      <c r="A134" s="50"/>
      <c r="B134" s="50"/>
      <c r="C134" s="50"/>
      <c r="D134" s="50"/>
      <c r="E134" s="50"/>
      <c r="F134" s="50"/>
      <c r="G134" s="51"/>
      <c r="H134" s="51"/>
      <c r="I134" s="51"/>
      <c r="J134" s="51"/>
      <c r="K134" s="51"/>
      <c r="L134" s="51"/>
      <c r="M134" s="51"/>
      <c r="N134" s="51"/>
      <c r="O134" s="51"/>
      <c r="P134" s="51"/>
      <c r="Q134" s="51"/>
      <c r="R134" s="51"/>
      <c r="S134" s="51"/>
      <c r="T134" s="51"/>
      <c r="U134" s="51"/>
      <c r="V134" s="51"/>
      <c r="W134" s="51"/>
      <c r="X134" s="67"/>
      <c r="Y134" s="67"/>
      <c r="Z134" s="67"/>
      <c r="AA134" s="68"/>
    </row>
    <row r="135" spans="1:31" x14ac:dyDescent="0.3">
      <c r="A135" s="50"/>
      <c r="B135" s="50"/>
      <c r="C135" s="50"/>
      <c r="D135" s="50"/>
      <c r="E135" s="50"/>
      <c r="F135" s="50"/>
      <c r="G135" s="51"/>
      <c r="H135" s="51"/>
      <c r="I135" s="51"/>
      <c r="J135" s="51"/>
      <c r="K135" s="51"/>
      <c r="L135" s="51"/>
      <c r="M135" s="51"/>
      <c r="N135" s="51"/>
      <c r="O135" s="51"/>
      <c r="P135" s="51"/>
      <c r="Q135" s="51"/>
      <c r="R135" s="51"/>
      <c r="S135" s="51"/>
      <c r="T135" s="51"/>
      <c r="U135" s="51"/>
      <c r="V135" s="51"/>
      <c r="W135" s="51"/>
      <c r="X135" s="67"/>
      <c r="Y135" s="67"/>
      <c r="Z135" s="67"/>
      <c r="AA135" s="68"/>
    </row>
    <row r="136" spans="1:31" x14ac:dyDescent="0.3">
      <c r="A136" s="50"/>
      <c r="B136" s="50"/>
      <c r="C136" s="50"/>
      <c r="D136" s="50"/>
      <c r="E136" s="50" t="s">
        <v>163</v>
      </c>
      <c r="F136" s="50"/>
      <c r="G136" s="51"/>
      <c r="H136" s="51"/>
      <c r="I136" s="51"/>
      <c r="J136" s="51"/>
      <c r="K136" s="51"/>
      <c r="L136" s="51"/>
      <c r="M136" s="51"/>
      <c r="N136" s="51"/>
      <c r="O136" s="51"/>
      <c r="P136" s="51"/>
      <c r="Q136" s="51"/>
      <c r="R136" s="51"/>
      <c r="S136" s="51"/>
      <c r="T136" s="51"/>
      <c r="U136" s="51"/>
      <c r="V136" s="51"/>
      <c r="W136" s="51"/>
      <c r="X136" s="67"/>
      <c r="Y136" s="67"/>
      <c r="Z136" s="67"/>
      <c r="AA136" s="68"/>
    </row>
    <row r="137" spans="1:31" x14ac:dyDescent="0.3">
      <c r="A137" s="50"/>
      <c r="B137" s="50"/>
      <c r="C137" s="50"/>
      <c r="D137" s="50"/>
      <c r="E137" s="50"/>
      <c r="F137" s="50" t="s">
        <v>164</v>
      </c>
      <c r="G137" s="51"/>
      <c r="H137" s="51"/>
      <c r="I137" s="51"/>
      <c r="J137" s="51"/>
      <c r="K137" s="51">
        <v>0</v>
      </c>
      <c r="L137" s="51">
        <v>0</v>
      </c>
      <c r="M137" s="51">
        <v>256.27</v>
      </c>
      <c r="N137" s="51">
        <v>0</v>
      </c>
      <c r="O137" s="51">
        <v>309.95</v>
      </c>
      <c r="P137" s="51">
        <v>0</v>
      </c>
      <c r="Q137" s="51">
        <v>0</v>
      </c>
      <c r="R137" s="51">
        <v>100</v>
      </c>
      <c r="S137" s="51">
        <v>0</v>
      </c>
      <c r="T137" s="51">
        <v>0</v>
      </c>
      <c r="U137" s="51">
        <v>0</v>
      </c>
      <c r="V137" s="51">
        <v>0</v>
      </c>
      <c r="W137" s="51"/>
      <c r="X137" s="67">
        <f t="shared" ref="X137:X149" si="19">ROUND(SUM(G137:W137),5)</f>
        <v>666.22</v>
      </c>
      <c r="Y137" s="67">
        <v>10000</v>
      </c>
      <c r="Z137" s="67">
        <v>10000</v>
      </c>
      <c r="AA137" s="68"/>
    </row>
    <row r="138" spans="1:31" x14ac:dyDescent="0.3">
      <c r="A138" s="50"/>
      <c r="B138" s="50"/>
      <c r="C138" s="50"/>
      <c r="D138" s="50"/>
      <c r="E138" s="50"/>
      <c r="F138" s="50" t="s">
        <v>165</v>
      </c>
      <c r="G138" s="51"/>
      <c r="H138" s="51"/>
      <c r="I138" s="51"/>
      <c r="J138" s="51"/>
      <c r="K138" s="51">
        <v>260</v>
      </c>
      <c r="L138" s="51">
        <v>0</v>
      </c>
      <c r="M138" s="51">
        <v>0</v>
      </c>
      <c r="N138" s="51">
        <v>0</v>
      </c>
      <c r="O138" s="51">
        <v>0</v>
      </c>
      <c r="P138" s="51">
        <v>0</v>
      </c>
      <c r="Q138" s="51">
        <v>55.85</v>
      </c>
      <c r="R138" s="51">
        <v>0</v>
      </c>
      <c r="S138" s="51">
        <v>675</v>
      </c>
      <c r="T138" s="51">
        <v>1525</v>
      </c>
      <c r="U138" s="51">
        <v>591</v>
      </c>
      <c r="V138" s="51">
        <v>0</v>
      </c>
      <c r="W138" s="51"/>
      <c r="X138" s="67">
        <f t="shared" si="19"/>
        <v>3106.85</v>
      </c>
      <c r="Y138" s="67">
        <v>2500</v>
      </c>
      <c r="Z138" s="67">
        <v>2500</v>
      </c>
      <c r="AA138" s="68"/>
    </row>
    <row r="139" spans="1:31" x14ac:dyDescent="0.3">
      <c r="A139" s="50"/>
      <c r="B139" s="50"/>
      <c r="C139" s="50"/>
      <c r="D139" s="50"/>
      <c r="E139" s="50"/>
      <c r="F139" s="50" t="s">
        <v>166</v>
      </c>
      <c r="G139" s="51"/>
      <c r="H139" s="51"/>
      <c r="I139" s="51"/>
      <c r="J139" s="51"/>
      <c r="K139" s="51">
        <v>2873.04</v>
      </c>
      <c r="L139" s="51">
        <v>51</v>
      </c>
      <c r="M139" s="51">
        <v>490</v>
      </c>
      <c r="N139" s="51">
        <v>2228</v>
      </c>
      <c r="O139" s="51">
        <v>650.25</v>
      </c>
      <c r="P139" s="51">
        <v>497.74</v>
      </c>
      <c r="Q139" s="51">
        <v>2718</v>
      </c>
      <c r="R139" s="51">
        <v>490</v>
      </c>
      <c r="S139" s="51">
        <v>490</v>
      </c>
      <c r="T139" s="51">
        <v>504.13</v>
      </c>
      <c r="U139" s="51">
        <v>2433.37</v>
      </c>
      <c r="V139" s="51">
        <v>0</v>
      </c>
      <c r="W139" s="51"/>
      <c r="X139" s="67">
        <f t="shared" si="19"/>
        <v>13425.53</v>
      </c>
      <c r="Y139" s="67">
        <v>16500</v>
      </c>
      <c r="Z139" s="67">
        <v>16500</v>
      </c>
      <c r="AA139" s="68"/>
    </row>
    <row r="140" spans="1:31" x14ac:dyDescent="0.3">
      <c r="A140" s="50"/>
      <c r="B140" s="50"/>
      <c r="C140" s="50"/>
      <c r="D140" s="50"/>
      <c r="E140" s="50"/>
      <c r="F140" s="50" t="s">
        <v>167</v>
      </c>
      <c r="G140" s="51"/>
      <c r="H140" s="51"/>
      <c r="I140" s="51"/>
      <c r="J140" s="51"/>
      <c r="K140" s="51">
        <v>496</v>
      </c>
      <c r="L140" s="51">
        <v>450</v>
      </c>
      <c r="M140" s="51">
        <v>496</v>
      </c>
      <c r="N140" s="51">
        <v>450</v>
      </c>
      <c r="O140" s="51">
        <v>450</v>
      </c>
      <c r="P140" s="51">
        <v>496</v>
      </c>
      <c r="Q140" s="51">
        <v>496</v>
      </c>
      <c r="R140" s="51">
        <v>450</v>
      </c>
      <c r="S140" s="51">
        <v>496</v>
      </c>
      <c r="T140" s="51">
        <v>450</v>
      </c>
      <c r="U140" s="51">
        <v>496</v>
      </c>
      <c r="V140" s="51">
        <v>450</v>
      </c>
      <c r="W140" s="51"/>
      <c r="X140" s="67">
        <f t="shared" si="19"/>
        <v>5676</v>
      </c>
      <c r="Y140" s="67">
        <v>6000</v>
      </c>
      <c r="Z140" s="67">
        <v>6000</v>
      </c>
      <c r="AA140" s="68"/>
    </row>
    <row r="141" spans="1:31" x14ac:dyDescent="0.3">
      <c r="A141" s="50"/>
      <c r="B141" s="50"/>
      <c r="C141" s="50"/>
      <c r="D141" s="50"/>
      <c r="E141" s="50"/>
      <c r="F141" s="50" t="s">
        <v>168</v>
      </c>
      <c r="G141" s="51"/>
      <c r="H141" s="51"/>
      <c r="I141" s="51"/>
      <c r="J141" s="51"/>
      <c r="K141" s="51">
        <v>300</v>
      </c>
      <c r="L141" s="51">
        <v>0</v>
      </c>
      <c r="M141" s="51">
        <v>0</v>
      </c>
      <c r="N141" s="51">
        <v>0</v>
      </c>
      <c r="O141" s="51">
        <v>0</v>
      </c>
      <c r="P141" s="51">
        <v>0</v>
      </c>
      <c r="Q141" s="51">
        <v>0</v>
      </c>
      <c r="R141" s="51">
        <v>0</v>
      </c>
      <c r="S141" s="51">
        <v>0</v>
      </c>
      <c r="T141" s="51">
        <v>0</v>
      </c>
      <c r="U141" s="51">
        <v>0</v>
      </c>
      <c r="V141" s="51">
        <v>0</v>
      </c>
      <c r="W141" s="51"/>
      <c r="X141" s="67">
        <f t="shared" si="19"/>
        <v>300</v>
      </c>
      <c r="Y141" s="67">
        <v>3500</v>
      </c>
      <c r="Z141" s="67">
        <v>2500</v>
      </c>
      <c r="AA141" s="68" t="s">
        <v>252</v>
      </c>
    </row>
    <row r="142" spans="1:31" x14ac:dyDescent="0.3">
      <c r="A142" s="50"/>
      <c r="B142" s="50"/>
      <c r="C142" s="50"/>
      <c r="D142" s="50"/>
      <c r="E142" s="50"/>
      <c r="F142" s="50" t="s">
        <v>169</v>
      </c>
      <c r="G142" s="51"/>
      <c r="H142" s="51"/>
      <c r="I142" s="51"/>
      <c r="J142" s="51"/>
      <c r="K142" s="51">
        <v>0</v>
      </c>
      <c r="L142" s="51">
        <v>0</v>
      </c>
      <c r="M142" s="51">
        <v>389</v>
      </c>
      <c r="N142" s="51">
        <v>125</v>
      </c>
      <c r="O142" s="51">
        <v>250</v>
      </c>
      <c r="P142" s="51">
        <v>0</v>
      </c>
      <c r="Q142" s="51">
        <v>0</v>
      </c>
      <c r="R142" s="51">
        <v>0</v>
      </c>
      <c r="S142" s="51">
        <v>560</v>
      </c>
      <c r="T142" s="51">
        <v>0</v>
      </c>
      <c r="U142" s="51">
        <v>250</v>
      </c>
      <c r="V142" s="51">
        <v>0</v>
      </c>
      <c r="W142" s="51"/>
      <c r="X142" s="67">
        <f t="shared" si="19"/>
        <v>1574</v>
      </c>
      <c r="Y142" s="67">
        <v>2500</v>
      </c>
      <c r="Z142" s="67">
        <v>2500</v>
      </c>
      <c r="AA142" s="68"/>
    </row>
    <row r="143" spans="1:31" ht="21.6" x14ac:dyDescent="0.3">
      <c r="A143" s="50"/>
      <c r="B143" s="50"/>
      <c r="C143" s="50"/>
      <c r="D143" s="50"/>
      <c r="E143" s="50"/>
      <c r="F143" s="50" t="s">
        <v>170</v>
      </c>
      <c r="G143" s="51"/>
      <c r="H143" s="51"/>
      <c r="I143" s="51"/>
      <c r="J143" s="51"/>
      <c r="K143" s="51">
        <v>0</v>
      </c>
      <c r="L143" s="51">
        <v>0</v>
      </c>
      <c r="M143" s="51">
        <v>0</v>
      </c>
      <c r="N143" s="51">
        <v>0</v>
      </c>
      <c r="O143" s="51">
        <v>0</v>
      </c>
      <c r="P143" s="51">
        <v>0</v>
      </c>
      <c r="Q143" s="51">
        <v>0</v>
      </c>
      <c r="R143" s="51">
        <v>0</v>
      </c>
      <c r="S143" s="51">
        <v>0</v>
      </c>
      <c r="T143" s="51">
        <v>0</v>
      </c>
      <c r="U143" s="51">
        <v>0</v>
      </c>
      <c r="V143" s="51">
        <v>0</v>
      </c>
      <c r="W143" s="51"/>
      <c r="X143" s="67">
        <f t="shared" si="19"/>
        <v>0</v>
      </c>
      <c r="Y143" s="67">
        <v>250</v>
      </c>
      <c r="Z143" s="67">
        <v>400</v>
      </c>
      <c r="AA143" s="68" t="s">
        <v>263</v>
      </c>
    </row>
    <row r="144" spans="1:31" ht="21.6" x14ac:dyDescent="0.3">
      <c r="A144" s="50"/>
      <c r="B144" s="50"/>
      <c r="C144" s="50"/>
      <c r="D144" s="50"/>
      <c r="E144" s="50"/>
      <c r="F144" s="50" t="s">
        <v>171</v>
      </c>
      <c r="G144" s="51"/>
      <c r="H144" s="51"/>
      <c r="I144" s="51"/>
      <c r="J144" s="51"/>
      <c r="K144" s="51">
        <v>305.61</v>
      </c>
      <c r="L144" s="51">
        <v>0</v>
      </c>
      <c r="M144" s="51">
        <v>611.22</v>
      </c>
      <c r="N144" s="51">
        <v>305.61</v>
      </c>
      <c r="O144" s="51">
        <v>305.61</v>
      </c>
      <c r="P144" s="51">
        <v>414.25</v>
      </c>
      <c r="Q144" s="51">
        <v>305.61</v>
      </c>
      <c r="R144" s="51">
        <v>0</v>
      </c>
      <c r="S144" s="51">
        <v>611.22</v>
      </c>
      <c r="T144" s="51">
        <v>305.61</v>
      </c>
      <c r="U144" s="51">
        <v>305.61</v>
      </c>
      <c r="V144" s="51">
        <v>305.61</v>
      </c>
      <c r="W144" s="51"/>
      <c r="X144" s="67">
        <f t="shared" si="19"/>
        <v>3775.96</v>
      </c>
      <c r="Y144" s="67">
        <v>3700</v>
      </c>
      <c r="Z144" s="67">
        <v>7500</v>
      </c>
      <c r="AA144" s="68" t="s">
        <v>262</v>
      </c>
    </row>
    <row r="145" spans="1:27" ht="21.6" x14ac:dyDescent="0.3">
      <c r="A145" s="50"/>
      <c r="B145" s="50"/>
      <c r="C145" s="50"/>
      <c r="D145" s="50"/>
      <c r="E145" s="50"/>
      <c r="F145" s="50" t="s">
        <v>172</v>
      </c>
      <c r="G145" s="51"/>
      <c r="H145" s="51"/>
      <c r="I145" s="51"/>
      <c r="J145" s="51"/>
      <c r="K145" s="51">
        <v>330.81</v>
      </c>
      <c r="L145" s="51">
        <v>96.32</v>
      </c>
      <c r="M145" s="51">
        <v>169.12</v>
      </c>
      <c r="N145" s="51">
        <v>97.75</v>
      </c>
      <c r="O145" s="51">
        <v>134.9</v>
      </c>
      <c r="P145" s="51">
        <v>147.91</v>
      </c>
      <c r="Q145" s="51">
        <v>325.38</v>
      </c>
      <c r="R145" s="51">
        <v>0</v>
      </c>
      <c r="S145" s="51">
        <v>265.42</v>
      </c>
      <c r="T145" s="51">
        <v>163.34</v>
      </c>
      <c r="U145" s="51">
        <v>122.25</v>
      </c>
      <c r="V145" s="51">
        <v>199.82</v>
      </c>
      <c r="W145" s="51"/>
      <c r="X145" s="67">
        <f t="shared" si="19"/>
        <v>2053.02</v>
      </c>
      <c r="Y145" s="67">
        <v>2800</v>
      </c>
      <c r="Z145" s="67">
        <v>4000</v>
      </c>
      <c r="AA145" s="68" t="s">
        <v>261</v>
      </c>
    </row>
    <row r="146" spans="1:27" x14ac:dyDescent="0.3">
      <c r="A146" s="50"/>
      <c r="B146" s="50"/>
      <c r="C146" s="50"/>
      <c r="D146" s="50"/>
      <c r="E146" s="50"/>
      <c r="F146" s="50" t="s">
        <v>173</v>
      </c>
      <c r="G146" s="51"/>
      <c r="H146" s="51"/>
      <c r="I146" s="51"/>
      <c r="J146" s="51"/>
      <c r="K146" s="51">
        <v>1549.97</v>
      </c>
      <c r="L146" s="51">
        <v>1016.67</v>
      </c>
      <c r="M146" s="51">
        <v>1015.39</v>
      </c>
      <c r="N146" s="51">
        <v>289.32</v>
      </c>
      <c r="O146" s="51">
        <v>1934.04</v>
      </c>
      <c r="P146" s="51">
        <v>903.78</v>
      </c>
      <c r="Q146" s="51">
        <v>1184.33</v>
      </c>
      <c r="R146" s="51">
        <v>443.68</v>
      </c>
      <c r="S146" s="51">
        <v>1731.99</v>
      </c>
      <c r="T146" s="51">
        <v>1022.29</v>
      </c>
      <c r="U146" s="51">
        <v>833.3</v>
      </c>
      <c r="V146" s="51">
        <v>572.04999999999995</v>
      </c>
      <c r="W146" s="51"/>
      <c r="X146" s="67">
        <f t="shared" si="19"/>
        <v>12496.81</v>
      </c>
      <c r="Y146" s="67">
        <v>12500</v>
      </c>
      <c r="Z146" s="67">
        <v>13000</v>
      </c>
      <c r="AA146" s="68"/>
    </row>
    <row r="147" spans="1:27" ht="15" thickBot="1" x14ac:dyDescent="0.35">
      <c r="A147" s="50"/>
      <c r="B147" s="50"/>
      <c r="C147" s="50"/>
      <c r="D147" s="50"/>
      <c r="E147" s="50"/>
      <c r="F147" s="50" t="s">
        <v>174</v>
      </c>
      <c r="G147" s="51"/>
      <c r="H147" s="51"/>
      <c r="I147" s="51"/>
      <c r="J147" s="51"/>
      <c r="K147" s="51">
        <v>0</v>
      </c>
      <c r="L147" s="51">
        <v>0</v>
      </c>
      <c r="M147" s="51">
        <v>188.42</v>
      </c>
      <c r="N147" s="51">
        <v>1763.16</v>
      </c>
      <c r="O147" s="51">
        <v>0</v>
      </c>
      <c r="P147" s="51">
        <v>82</v>
      </c>
      <c r="Q147" s="51">
        <v>88</v>
      </c>
      <c r="R147" s="51">
        <v>0</v>
      </c>
      <c r="S147" s="51">
        <v>216</v>
      </c>
      <c r="T147" s="51">
        <v>0</v>
      </c>
      <c r="U147" s="51">
        <v>0</v>
      </c>
      <c r="V147" s="51">
        <v>0</v>
      </c>
      <c r="W147" s="51"/>
      <c r="X147" s="67">
        <f t="shared" si="19"/>
        <v>2337.58</v>
      </c>
      <c r="Y147" s="67">
        <v>8500</v>
      </c>
      <c r="Z147" s="67">
        <v>8500</v>
      </c>
      <c r="AA147" s="68"/>
    </row>
    <row r="148" spans="1:27" ht="15" thickBot="1" x14ac:dyDescent="0.35">
      <c r="A148" s="50"/>
      <c r="B148" s="50"/>
      <c r="C148" s="50"/>
      <c r="D148" s="50"/>
      <c r="E148" s="50" t="s">
        <v>175</v>
      </c>
      <c r="F148" s="50"/>
      <c r="G148" s="53"/>
      <c r="H148" s="53"/>
      <c r="I148" s="53"/>
      <c r="J148" s="53"/>
      <c r="K148" s="53">
        <f t="shared" ref="K148:V148" si="20">ROUND(SUM(K136:K147),5)</f>
        <v>6115.43</v>
      </c>
      <c r="L148" s="53">
        <f t="shared" si="20"/>
        <v>1613.99</v>
      </c>
      <c r="M148" s="53">
        <f t="shared" si="20"/>
        <v>3615.42</v>
      </c>
      <c r="N148" s="53">
        <f t="shared" si="20"/>
        <v>5258.84</v>
      </c>
      <c r="O148" s="53">
        <f t="shared" si="20"/>
        <v>4034.75</v>
      </c>
      <c r="P148" s="53">
        <f t="shared" si="20"/>
        <v>2541.6799999999998</v>
      </c>
      <c r="Q148" s="53">
        <f t="shared" si="20"/>
        <v>5173.17</v>
      </c>
      <c r="R148" s="53">
        <f t="shared" si="20"/>
        <v>1483.68</v>
      </c>
      <c r="S148" s="53">
        <f t="shared" si="20"/>
        <v>5045.63</v>
      </c>
      <c r="T148" s="53">
        <f t="shared" si="20"/>
        <v>3970.37</v>
      </c>
      <c r="U148" s="53">
        <f t="shared" si="20"/>
        <v>5031.53</v>
      </c>
      <c r="V148" s="53">
        <f t="shared" si="20"/>
        <v>1527.48</v>
      </c>
      <c r="W148" s="53"/>
      <c r="X148" s="71">
        <f t="shared" si="19"/>
        <v>45411.97</v>
      </c>
      <c r="Y148" s="71">
        <f>ROUND(SUM(Y136:Y147),5)</f>
        <v>68750</v>
      </c>
      <c r="Z148" s="71">
        <f>ROUND(SUM(Z136:Z147),5)</f>
        <v>73400</v>
      </c>
      <c r="AA148" s="72"/>
    </row>
    <row r="149" spans="1:27" x14ac:dyDescent="0.3">
      <c r="A149" s="50"/>
      <c r="B149" s="50"/>
      <c r="C149" s="50"/>
      <c r="D149" s="50" t="s">
        <v>176</v>
      </c>
      <c r="E149" s="50"/>
      <c r="F149" s="50"/>
      <c r="G149" s="51"/>
      <c r="H149" s="51"/>
      <c r="I149" s="51"/>
      <c r="J149" s="51"/>
      <c r="K149" s="51">
        <f t="shared" ref="K149:V149" si="21">ROUND(K69+K73+K124+K148,5)</f>
        <v>11309.88</v>
      </c>
      <c r="L149" s="51">
        <f t="shared" si="21"/>
        <v>16749.12</v>
      </c>
      <c r="M149" s="51">
        <f t="shared" si="21"/>
        <v>12622.71</v>
      </c>
      <c r="N149" s="51">
        <f t="shared" si="21"/>
        <v>11103.24</v>
      </c>
      <c r="O149" s="51">
        <f t="shared" si="21"/>
        <v>11446.41</v>
      </c>
      <c r="P149" s="51">
        <f t="shared" si="21"/>
        <v>10453.459999999999</v>
      </c>
      <c r="Q149" s="51">
        <f t="shared" si="21"/>
        <v>11012.23</v>
      </c>
      <c r="R149" s="51">
        <f t="shared" si="21"/>
        <v>6587.86</v>
      </c>
      <c r="S149" s="51">
        <f t="shared" si="21"/>
        <v>12475.07</v>
      </c>
      <c r="T149" s="51">
        <f t="shared" si="21"/>
        <v>10928.87</v>
      </c>
      <c r="U149" s="51">
        <f t="shared" si="21"/>
        <v>12329.12</v>
      </c>
      <c r="V149" s="51">
        <f t="shared" si="21"/>
        <v>11692.02</v>
      </c>
      <c r="W149" s="51"/>
      <c r="X149" s="67">
        <f t="shared" si="19"/>
        <v>138709.99</v>
      </c>
      <c r="Y149" s="67">
        <f>ROUND(Y69+Y73+Y124+Y148,5)</f>
        <v>248400</v>
      </c>
      <c r="Z149" s="67">
        <f>ROUND(Z69+Z73+Z124+Z148,5)</f>
        <v>255150</v>
      </c>
      <c r="AA149" s="68"/>
    </row>
    <row r="150" spans="1:27" x14ac:dyDescent="0.3">
      <c r="A150" s="50"/>
      <c r="B150" s="50"/>
      <c r="C150" s="50"/>
      <c r="D150" s="50" t="s">
        <v>177</v>
      </c>
      <c r="E150" s="50"/>
      <c r="F150" s="50"/>
      <c r="G150" s="51"/>
      <c r="H150" s="51"/>
      <c r="I150" s="51"/>
      <c r="J150" s="51"/>
      <c r="K150" s="51"/>
      <c r="L150" s="51"/>
      <c r="M150" s="51"/>
      <c r="N150" s="51"/>
      <c r="O150" s="51"/>
      <c r="P150" s="51"/>
      <c r="Q150" s="51"/>
      <c r="R150" s="51"/>
      <c r="S150" s="51"/>
      <c r="T150" s="51"/>
      <c r="U150" s="51"/>
      <c r="V150" s="51"/>
      <c r="W150" s="51"/>
      <c r="X150" s="67"/>
      <c r="Y150" s="67"/>
      <c r="Z150" s="67"/>
      <c r="AA150" s="68"/>
    </row>
    <row r="151" spans="1:27" x14ac:dyDescent="0.3">
      <c r="A151" s="50"/>
      <c r="B151" s="50"/>
      <c r="C151" s="50"/>
      <c r="D151" s="50"/>
      <c r="E151" s="50" t="s">
        <v>178</v>
      </c>
      <c r="F151" s="50"/>
      <c r="G151" s="51"/>
      <c r="H151" s="51"/>
      <c r="I151" s="51"/>
      <c r="J151" s="51"/>
      <c r="K151" s="51"/>
      <c r="L151" s="51"/>
      <c r="M151" s="51"/>
      <c r="N151" s="51"/>
      <c r="O151" s="51"/>
      <c r="P151" s="51"/>
      <c r="Q151" s="51"/>
      <c r="R151" s="51"/>
      <c r="S151" s="51"/>
      <c r="T151" s="51"/>
      <c r="U151" s="51"/>
      <c r="V151" s="51"/>
      <c r="W151" s="51"/>
      <c r="X151" s="67"/>
      <c r="Y151" s="67"/>
      <c r="Z151" s="67"/>
      <c r="AA151" s="68"/>
    </row>
    <row r="152" spans="1:27" ht="22.2" thickBot="1" x14ac:dyDescent="0.35">
      <c r="A152" s="50"/>
      <c r="B152" s="50"/>
      <c r="C152" s="50"/>
      <c r="D152" s="50"/>
      <c r="E152" s="50"/>
      <c r="F152" s="50" t="s">
        <v>179</v>
      </c>
      <c r="G152" s="52"/>
      <c r="H152" s="52"/>
      <c r="I152" s="52"/>
      <c r="J152" s="52"/>
      <c r="K152" s="52">
        <v>0</v>
      </c>
      <c r="L152" s="52">
        <v>0</v>
      </c>
      <c r="M152" s="52">
        <v>0</v>
      </c>
      <c r="N152" s="52">
        <v>0</v>
      </c>
      <c r="O152" s="52">
        <v>0</v>
      </c>
      <c r="P152" s="52">
        <v>0</v>
      </c>
      <c r="Q152" s="52">
        <v>0</v>
      </c>
      <c r="R152" s="52">
        <v>0</v>
      </c>
      <c r="S152" s="52">
        <v>0</v>
      </c>
      <c r="T152" s="52">
        <v>0</v>
      </c>
      <c r="U152" s="52">
        <v>0</v>
      </c>
      <c r="V152" s="52">
        <v>50812.91</v>
      </c>
      <c r="W152" s="52"/>
      <c r="X152" s="69">
        <f>ROUND(SUM(G152:W152),5)</f>
        <v>50812.91</v>
      </c>
      <c r="Y152" s="69">
        <v>0</v>
      </c>
      <c r="Z152" s="69">
        <v>0</v>
      </c>
      <c r="AA152" s="70" t="s">
        <v>205</v>
      </c>
    </row>
    <row r="153" spans="1:27" x14ac:dyDescent="0.3">
      <c r="A153" s="50"/>
      <c r="B153" s="50"/>
      <c r="C153" s="50"/>
      <c r="D153" s="50"/>
      <c r="E153" s="50" t="s">
        <v>180</v>
      </c>
      <c r="F153" s="50"/>
      <c r="G153" s="51"/>
      <c r="H153" s="51"/>
      <c r="I153" s="51"/>
      <c r="J153" s="51"/>
      <c r="K153" s="51">
        <f t="shared" ref="K153:V153" si="22">ROUND(SUM(K151:K152),5)</f>
        <v>0</v>
      </c>
      <c r="L153" s="51">
        <f t="shared" si="22"/>
        <v>0</v>
      </c>
      <c r="M153" s="51">
        <f t="shared" si="22"/>
        <v>0</v>
      </c>
      <c r="N153" s="51">
        <f t="shared" si="22"/>
        <v>0</v>
      </c>
      <c r="O153" s="51">
        <f t="shared" si="22"/>
        <v>0</v>
      </c>
      <c r="P153" s="51">
        <f t="shared" si="22"/>
        <v>0</v>
      </c>
      <c r="Q153" s="51">
        <f t="shared" si="22"/>
        <v>0</v>
      </c>
      <c r="R153" s="51">
        <f t="shared" si="22"/>
        <v>0</v>
      </c>
      <c r="S153" s="51">
        <f t="shared" si="22"/>
        <v>0</v>
      </c>
      <c r="T153" s="51">
        <f t="shared" si="22"/>
        <v>0</v>
      </c>
      <c r="U153" s="51">
        <f t="shared" si="22"/>
        <v>0</v>
      </c>
      <c r="V153" s="51">
        <f t="shared" si="22"/>
        <v>50812.91</v>
      </c>
      <c r="W153" s="51"/>
      <c r="X153" s="67">
        <f>ROUND(SUM(G153:W153),5)</f>
        <v>50812.91</v>
      </c>
      <c r="Y153" s="67">
        <f>ROUND(SUM(Y151:Y152),5)</f>
        <v>0</v>
      </c>
      <c r="Z153" s="67">
        <f>ROUND(SUM(Z151:Z152),5)</f>
        <v>0</v>
      </c>
      <c r="AA153" s="68"/>
    </row>
    <row r="154" spans="1:27" ht="15" thickBot="1" x14ac:dyDescent="0.35">
      <c r="A154" s="50"/>
      <c r="B154" s="50"/>
      <c r="C154" s="50"/>
      <c r="D154" s="50"/>
      <c r="E154" s="50" t="s">
        <v>181</v>
      </c>
      <c r="F154" s="50"/>
      <c r="G154" s="52"/>
      <c r="H154" s="52"/>
      <c r="I154" s="52"/>
      <c r="J154" s="52"/>
      <c r="K154" s="52">
        <v>298.70999999999998</v>
      </c>
      <c r="L154" s="52">
        <v>172.26</v>
      </c>
      <c r="M154" s="52">
        <v>191.39</v>
      </c>
      <c r="N154" s="52">
        <v>0</v>
      </c>
      <c r="O154" s="52">
        <v>0</v>
      </c>
      <c r="P154" s="52">
        <v>689.18</v>
      </c>
      <c r="Q154" s="52">
        <v>484.71</v>
      </c>
      <c r="R154" s="52">
        <v>0</v>
      </c>
      <c r="S154" s="52">
        <v>357.28</v>
      </c>
      <c r="T154" s="52">
        <v>185.02</v>
      </c>
      <c r="U154" s="52">
        <v>241.33</v>
      </c>
      <c r="V154" s="52">
        <v>416.65</v>
      </c>
      <c r="W154" s="52"/>
      <c r="X154" s="69">
        <f>ROUND(SUM(G154:W154),5)</f>
        <v>3036.53</v>
      </c>
      <c r="Y154" s="69">
        <v>4000</v>
      </c>
      <c r="Z154" s="69">
        <v>4000</v>
      </c>
      <c r="AA154" s="70"/>
    </row>
    <row r="155" spans="1:27" x14ac:dyDescent="0.3">
      <c r="A155" s="50"/>
      <c r="B155" s="50"/>
      <c r="C155" s="50"/>
      <c r="D155" s="50" t="s">
        <v>182</v>
      </c>
      <c r="E155" s="50"/>
      <c r="F155" s="50"/>
      <c r="G155" s="51"/>
      <c r="H155" s="51"/>
      <c r="I155" s="51"/>
      <c r="J155" s="51"/>
      <c r="K155" s="51">
        <f t="shared" ref="K155:V155" si="23">ROUND(K150+SUM(K153:K154),5)</f>
        <v>298.70999999999998</v>
      </c>
      <c r="L155" s="51">
        <f t="shared" si="23"/>
        <v>172.26</v>
      </c>
      <c r="M155" s="51">
        <f t="shared" si="23"/>
        <v>191.39</v>
      </c>
      <c r="N155" s="51">
        <f t="shared" si="23"/>
        <v>0</v>
      </c>
      <c r="O155" s="51">
        <f t="shared" si="23"/>
        <v>0</v>
      </c>
      <c r="P155" s="51">
        <f t="shared" si="23"/>
        <v>689.18</v>
      </c>
      <c r="Q155" s="51">
        <f t="shared" si="23"/>
        <v>484.71</v>
      </c>
      <c r="R155" s="51">
        <f t="shared" si="23"/>
        <v>0</v>
      </c>
      <c r="S155" s="51">
        <f t="shared" si="23"/>
        <v>357.28</v>
      </c>
      <c r="T155" s="51">
        <f t="shared" si="23"/>
        <v>185.02</v>
      </c>
      <c r="U155" s="51">
        <f t="shared" si="23"/>
        <v>241.33</v>
      </c>
      <c r="V155" s="51">
        <f t="shared" si="23"/>
        <v>51229.56</v>
      </c>
      <c r="W155" s="51"/>
      <c r="X155" s="67">
        <f>ROUND(SUM(G155:W155),5)</f>
        <v>53849.440000000002</v>
      </c>
      <c r="Y155" s="67">
        <f>ROUND(Y150+SUM(Y153:Y154),5)</f>
        <v>4000</v>
      </c>
      <c r="Z155" s="67">
        <f>ROUND(Z150+SUM(Z153:Z154),5)</f>
        <v>4000</v>
      </c>
      <c r="AA155" s="68"/>
    </row>
    <row r="156" spans="1:27" x14ac:dyDescent="0.3">
      <c r="A156" s="50"/>
      <c r="B156" s="50"/>
      <c r="C156" s="50"/>
      <c r="D156" s="50" t="s">
        <v>183</v>
      </c>
      <c r="E156" s="50"/>
      <c r="F156" s="50"/>
      <c r="G156" s="51"/>
      <c r="H156" s="51"/>
      <c r="I156" s="51"/>
      <c r="J156" s="51"/>
      <c r="K156" s="51"/>
      <c r="L156" s="51"/>
      <c r="M156" s="51"/>
      <c r="N156" s="51"/>
      <c r="O156" s="51"/>
      <c r="P156" s="51"/>
      <c r="Q156" s="51"/>
      <c r="R156" s="51"/>
      <c r="S156" s="51"/>
      <c r="T156" s="51"/>
      <c r="U156" s="51"/>
      <c r="V156" s="51"/>
      <c r="W156" s="51"/>
      <c r="X156" s="67"/>
      <c r="Y156" s="67"/>
      <c r="Z156" s="67"/>
      <c r="AA156" s="68"/>
    </row>
    <row r="157" spans="1:27" x14ac:dyDescent="0.3">
      <c r="A157" s="50"/>
      <c r="B157" s="50"/>
      <c r="C157" s="50"/>
      <c r="D157" s="50"/>
      <c r="E157" s="50" t="s">
        <v>184</v>
      </c>
      <c r="F157" s="50"/>
      <c r="G157" s="51"/>
      <c r="H157" s="51"/>
      <c r="I157" s="51"/>
      <c r="J157" s="51"/>
      <c r="K157" s="51"/>
      <c r="L157" s="51"/>
      <c r="M157" s="51"/>
      <c r="N157" s="51"/>
      <c r="O157" s="51"/>
      <c r="P157" s="51"/>
      <c r="Q157" s="51"/>
      <c r="R157" s="51"/>
      <c r="S157" s="51"/>
      <c r="T157" s="51"/>
      <c r="U157" s="51"/>
      <c r="V157" s="51"/>
      <c r="W157" s="51"/>
      <c r="X157" s="67"/>
      <c r="Y157" s="67"/>
      <c r="Z157" s="67"/>
      <c r="AA157" s="68"/>
    </row>
    <row r="158" spans="1:27" x14ac:dyDescent="0.3">
      <c r="A158" s="50"/>
      <c r="B158" s="50"/>
      <c r="C158" s="50"/>
      <c r="D158" s="50"/>
      <c r="E158" s="50"/>
      <c r="F158" s="50" t="s">
        <v>201</v>
      </c>
      <c r="G158" s="51"/>
      <c r="H158" s="51"/>
      <c r="I158" s="51"/>
      <c r="J158" s="51"/>
      <c r="K158" s="51">
        <v>0</v>
      </c>
      <c r="L158" s="51">
        <v>0</v>
      </c>
      <c r="M158" s="51">
        <v>0</v>
      </c>
      <c r="N158" s="51">
        <v>0</v>
      </c>
      <c r="O158" s="51">
        <v>0</v>
      </c>
      <c r="P158" s="51">
        <v>0</v>
      </c>
      <c r="Q158" s="51">
        <v>0</v>
      </c>
      <c r="R158" s="51">
        <v>0</v>
      </c>
      <c r="S158" s="51">
        <v>0</v>
      </c>
      <c r="T158" s="51">
        <v>0</v>
      </c>
      <c r="U158" s="51">
        <v>0</v>
      </c>
      <c r="V158" s="51">
        <v>0</v>
      </c>
      <c r="W158" s="51"/>
      <c r="X158" s="67">
        <f>ROUND(SUM(G158:W158),5)</f>
        <v>0</v>
      </c>
      <c r="Y158" s="67">
        <v>100000</v>
      </c>
      <c r="Z158" s="67">
        <v>100000</v>
      </c>
      <c r="AA158" s="68"/>
    </row>
    <row r="159" spans="1:27" x14ac:dyDescent="0.3">
      <c r="A159" s="50"/>
      <c r="B159" s="50"/>
      <c r="C159" s="50"/>
      <c r="D159" s="50"/>
      <c r="E159" s="50"/>
      <c r="F159" s="50" t="s">
        <v>202</v>
      </c>
      <c r="G159" s="51"/>
      <c r="H159" s="51"/>
      <c r="I159" s="51"/>
      <c r="J159" s="51"/>
      <c r="K159" s="51">
        <v>0</v>
      </c>
      <c r="L159" s="51">
        <v>0</v>
      </c>
      <c r="M159" s="51">
        <v>0</v>
      </c>
      <c r="N159" s="51">
        <v>0</v>
      </c>
      <c r="O159" s="51">
        <v>0</v>
      </c>
      <c r="P159" s="51">
        <v>0</v>
      </c>
      <c r="Q159" s="51">
        <v>0</v>
      </c>
      <c r="R159" s="51">
        <v>0</v>
      </c>
      <c r="S159" s="51">
        <v>0</v>
      </c>
      <c r="T159" s="51">
        <v>0</v>
      </c>
      <c r="U159" s="51">
        <v>0</v>
      </c>
      <c r="V159" s="51">
        <v>0</v>
      </c>
      <c r="W159" s="51"/>
      <c r="X159" s="67">
        <f>ROUND(SUM(G159:W159),5)</f>
        <v>0</v>
      </c>
      <c r="Y159" s="67">
        <v>6000</v>
      </c>
      <c r="Z159" s="67">
        <v>6000</v>
      </c>
      <c r="AA159" s="68"/>
    </row>
    <row r="160" spans="1:27" x14ac:dyDescent="0.3">
      <c r="A160" s="50"/>
      <c r="B160" s="50"/>
      <c r="C160" s="50"/>
      <c r="D160" s="50"/>
      <c r="E160" s="50"/>
      <c r="F160" s="50" t="s">
        <v>185</v>
      </c>
      <c r="G160" s="51"/>
      <c r="H160" s="51"/>
      <c r="I160" s="51"/>
      <c r="J160" s="51"/>
      <c r="K160" s="51">
        <v>0</v>
      </c>
      <c r="L160" s="51">
        <v>0</v>
      </c>
      <c r="M160" s="51">
        <v>0</v>
      </c>
      <c r="N160" s="51">
        <v>0</v>
      </c>
      <c r="O160" s="51">
        <v>0</v>
      </c>
      <c r="P160" s="51">
        <v>0</v>
      </c>
      <c r="Q160" s="51">
        <v>0</v>
      </c>
      <c r="R160" s="51">
        <v>0</v>
      </c>
      <c r="S160" s="51">
        <v>0</v>
      </c>
      <c r="T160" s="51">
        <v>0</v>
      </c>
      <c r="U160" s="51">
        <v>0</v>
      </c>
      <c r="V160" s="51">
        <v>0</v>
      </c>
      <c r="W160" s="51"/>
      <c r="X160" s="67">
        <f>ROUND(SUM(G160:W160),5)</f>
        <v>0</v>
      </c>
      <c r="Y160" s="67">
        <v>7500</v>
      </c>
      <c r="Z160" s="67">
        <v>7500</v>
      </c>
      <c r="AA160" s="68"/>
    </row>
    <row r="161" spans="1:27" ht="15" thickBot="1" x14ac:dyDescent="0.35">
      <c r="A161" s="50"/>
      <c r="B161" s="50"/>
      <c r="C161" s="50"/>
      <c r="D161" s="50"/>
      <c r="E161" s="50"/>
      <c r="F161" s="50" t="s">
        <v>239</v>
      </c>
      <c r="G161" s="52"/>
      <c r="H161" s="52"/>
      <c r="I161" s="52"/>
      <c r="J161" s="52"/>
      <c r="K161" s="52">
        <v>0</v>
      </c>
      <c r="L161" s="52">
        <v>0</v>
      </c>
      <c r="M161" s="52">
        <v>0</v>
      </c>
      <c r="N161" s="52">
        <v>0</v>
      </c>
      <c r="O161" s="52">
        <v>0</v>
      </c>
      <c r="P161" s="52">
        <v>0</v>
      </c>
      <c r="Q161" s="52">
        <v>0</v>
      </c>
      <c r="R161" s="52">
        <v>0</v>
      </c>
      <c r="S161" s="52">
        <v>0</v>
      </c>
      <c r="T161" s="52">
        <v>0</v>
      </c>
      <c r="U161" s="52">
        <v>0</v>
      </c>
      <c r="V161" s="52">
        <v>0</v>
      </c>
      <c r="W161" s="52"/>
      <c r="X161" s="69">
        <f>ROUND(SUM(G161:W161),5)</f>
        <v>0</v>
      </c>
      <c r="Y161" s="69">
        <v>6000</v>
      </c>
      <c r="Z161" s="69">
        <v>6000</v>
      </c>
      <c r="AA161" s="70"/>
    </row>
    <row r="162" spans="1:27" x14ac:dyDescent="0.3">
      <c r="A162" s="50"/>
      <c r="B162" s="50"/>
      <c r="C162" s="50"/>
      <c r="D162" s="50"/>
      <c r="E162" s="50" t="s">
        <v>186</v>
      </c>
      <c r="F162" s="50"/>
      <c r="G162" s="51"/>
      <c r="H162" s="51"/>
      <c r="I162" s="51"/>
      <c r="J162" s="51"/>
      <c r="K162" s="51">
        <f t="shared" ref="K162:V162" si="24">ROUND(SUM(K157:K161),5)</f>
        <v>0</v>
      </c>
      <c r="L162" s="51">
        <f t="shared" si="24"/>
        <v>0</v>
      </c>
      <c r="M162" s="51">
        <f t="shared" si="24"/>
        <v>0</v>
      </c>
      <c r="N162" s="51">
        <f t="shared" si="24"/>
        <v>0</v>
      </c>
      <c r="O162" s="51">
        <f t="shared" si="24"/>
        <v>0</v>
      </c>
      <c r="P162" s="51">
        <f t="shared" si="24"/>
        <v>0</v>
      </c>
      <c r="Q162" s="51">
        <f t="shared" si="24"/>
        <v>0</v>
      </c>
      <c r="R162" s="51">
        <f t="shared" si="24"/>
        <v>0</v>
      </c>
      <c r="S162" s="51">
        <f t="shared" si="24"/>
        <v>0</v>
      </c>
      <c r="T162" s="51">
        <f t="shared" si="24"/>
        <v>0</v>
      </c>
      <c r="U162" s="51">
        <f t="shared" si="24"/>
        <v>0</v>
      </c>
      <c r="V162" s="51">
        <f t="shared" si="24"/>
        <v>0</v>
      </c>
      <c r="W162" s="51"/>
      <c r="X162" s="67">
        <f>ROUND(SUM(G162:W162),5)</f>
        <v>0</v>
      </c>
      <c r="Y162" s="67">
        <f>ROUND(SUM(Y157:Y161),5)</f>
        <v>119500</v>
      </c>
      <c r="Z162" s="67">
        <f>ROUND(SUM(Z157:Z161),5)</f>
        <v>119500</v>
      </c>
      <c r="AA162" s="68"/>
    </row>
    <row r="163" spans="1:27" x14ac:dyDescent="0.3">
      <c r="A163" s="50"/>
      <c r="B163" s="50"/>
      <c r="C163" s="50"/>
      <c r="D163" s="50"/>
      <c r="E163" s="50" t="s">
        <v>187</v>
      </c>
      <c r="F163" s="50"/>
      <c r="G163" s="51"/>
      <c r="H163" s="51"/>
      <c r="I163" s="51"/>
      <c r="J163" s="51"/>
      <c r="K163" s="51"/>
      <c r="L163" s="51"/>
      <c r="M163" s="51"/>
      <c r="N163" s="51"/>
      <c r="O163" s="51"/>
      <c r="P163" s="51"/>
      <c r="Q163" s="51"/>
      <c r="R163" s="51"/>
      <c r="S163" s="51"/>
      <c r="T163" s="51"/>
      <c r="U163" s="51"/>
      <c r="V163" s="51"/>
      <c r="W163" s="51"/>
      <c r="X163" s="67"/>
      <c r="Y163" s="67"/>
      <c r="Z163" s="67"/>
      <c r="AA163" s="68"/>
    </row>
    <row r="164" spans="1:27" ht="15" thickBot="1" x14ac:dyDescent="0.35">
      <c r="A164" s="50"/>
      <c r="B164" s="50"/>
      <c r="C164" s="50"/>
      <c r="D164" s="50"/>
      <c r="E164" s="50"/>
      <c r="F164" s="50" t="s">
        <v>188</v>
      </c>
      <c r="G164" s="52"/>
      <c r="H164" s="52"/>
      <c r="I164" s="52"/>
      <c r="J164" s="52"/>
      <c r="K164" s="52">
        <v>0</v>
      </c>
      <c r="L164" s="52">
        <v>0</v>
      </c>
      <c r="M164" s="52">
        <v>5379.38</v>
      </c>
      <c r="N164" s="52">
        <v>0</v>
      </c>
      <c r="O164" s="52">
        <v>0</v>
      </c>
      <c r="P164" s="52">
        <v>0</v>
      </c>
      <c r="Q164" s="52">
        <v>0</v>
      </c>
      <c r="R164" s="52">
        <v>0</v>
      </c>
      <c r="S164" s="52">
        <v>0</v>
      </c>
      <c r="T164" s="52">
        <v>0</v>
      </c>
      <c r="U164" s="52">
        <v>0</v>
      </c>
      <c r="V164" s="52">
        <v>0</v>
      </c>
      <c r="W164" s="52"/>
      <c r="X164" s="69">
        <f>ROUND(SUM(G164:W164),5)</f>
        <v>5379.38</v>
      </c>
      <c r="Y164" s="69">
        <v>150000</v>
      </c>
      <c r="Z164" s="69">
        <v>150000</v>
      </c>
      <c r="AA164" s="70" t="s">
        <v>251</v>
      </c>
    </row>
    <row r="165" spans="1:27" x14ac:dyDescent="0.3">
      <c r="A165" s="50"/>
      <c r="B165" s="50"/>
      <c r="C165" s="50"/>
      <c r="D165" s="50"/>
      <c r="E165" s="50" t="s">
        <v>189</v>
      </c>
      <c r="F165" s="50"/>
      <c r="G165" s="51"/>
      <c r="H165" s="51"/>
      <c r="I165" s="51"/>
      <c r="J165" s="51"/>
      <c r="K165" s="51">
        <f t="shared" ref="K165:V165" si="25">ROUND(SUM(K163:K164),5)</f>
        <v>0</v>
      </c>
      <c r="L165" s="51">
        <f t="shared" si="25"/>
        <v>0</v>
      </c>
      <c r="M165" s="51">
        <f t="shared" si="25"/>
        <v>5379.38</v>
      </c>
      <c r="N165" s="51">
        <f t="shared" si="25"/>
        <v>0</v>
      </c>
      <c r="O165" s="51">
        <f t="shared" si="25"/>
        <v>0</v>
      </c>
      <c r="P165" s="51">
        <f t="shared" si="25"/>
        <v>0</v>
      </c>
      <c r="Q165" s="51">
        <f t="shared" si="25"/>
        <v>0</v>
      </c>
      <c r="R165" s="51">
        <f t="shared" si="25"/>
        <v>0</v>
      </c>
      <c r="S165" s="51">
        <f t="shared" si="25"/>
        <v>0</v>
      </c>
      <c r="T165" s="51">
        <f t="shared" si="25"/>
        <v>0</v>
      </c>
      <c r="U165" s="51">
        <f t="shared" si="25"/>
        <v>0</v>
      </c>
      <c r="V165" s="51">
        <f t="shared" si="25"/>
        <v>0</v>
      </c>
      <c r="W165" s="51"/>
      <c r="X165" s="67">
        <f>ROUND(SUM(G165:W165),5)</f>
        <v>5379.38</v>
      </c>
      <c r="Y165" s="67">
        <f>ROUND(SUM(Y163:Y164),5)</f>
        <v>150000</v>
      </c>
      <c r="Z165" s="67">
        <f>ROUND(SUM(Z163:Z164),5)</f>
        <v>150000</v>
      </c>
      <c r="AA165" s="68"/>
    </row>
    <row r="166" spans="1:27" x14ac:dyDescent="0.3">
      <c r="A166" s="50"/>
      <c r="B166" s="50"/>
      <c r="C166" s="50"/>
      <c r="D166" s="50"/>
      <c r="E166" s="50" t="s">
        <v>190</v>
      </c>
      <c r="F166" s="50"/>
      <c r="G166" s="51"/>
      <c r="H166" s="51"/>
      <c r="I166" s="51"/>
      <c r="J166" s="51"/>
      <c r="K166" s="51"/>
      <c r="L166" s="51"/>
      <c r="M166" s="51"/>
      <c r="N166" s="51"/>
      <c r="O166" s="51"/>
      <c r="P166" s="51"/>
      <c r="Q166" s="51"/>
      <c r="R166" s="51"/>
      <c r="S166" s="51"/>
      <c r="T166" s="51"/>
      <c r="U166" s="51"/>
      <c r="V166" s="51"/>
      <c r="W166" s="51"/>
      <c r="X166" s="67"/>
      <c r="Y166" s="67"/>
      <c r="Z166" s="67"/>
      <c r="AA166" s="68"/>
    </row>
    <row r="167" spans="1:27" x14ac:dyDescent="0.3">
      <c r="A167" s="50"/>
      <c r="B167" s="50"/>
      <c r="C167" s="50"/>
      <c r="D167" s="50"/>
      <c r="E167" s="50"/>
      <c r="F167" s="50" t="s">
        <v>191</v>
      </c>
      <c r="G167" s="51"/>
      <c r="H167" s="51"/>
      <c r="I167" s="51"/>
      <c r="J167" s="51"/>
      <c r="K167" s="51">
        <v>0</v>
      </c>
      <c r="L167" s="51">
        <v>0</v>
      </c>
      <c r="M167" s="51">
        <v>0</v>
      </c>
      <c r="N167" s="51">
        <v>0</v>
      </c>
      <c r="O167" s="51">
        <v>0</v>
      </c>
      <c r="P167" s="51">
        <v>0</v>
      </c>
      <c r="Q167" s="51">
        <v>0</v>
      </c>
      <c r="R167" s="51">
        <v>0</v>
      </c>
      <c r="S167" s="51">
        <v>9137.67</v>
      </c>
      <c r="T167" s="51">
        <v>0</v>
      </c>
      <c r="U167" s="51">
        <v>0</v>
      </c>
      <c r="V167" s="51">
        <v>0</v>
      </c>
      <c r="W167" s="51"/>
      <c r="X167" s="67">
        <f>ROUND(SUM(G167:W167),5)</f>
        <v>9137.67</v>
      </c>
      <c r="Y167" s="67">
        <v>75000</v>
      </c>
      <c r="Z167" s="67">
        <v>60000</v>
      </c>
      <c r="AA167" s="68"/>
    </row>
    <row r="168" spans="1:27" x14ac:dyDescent="0.3">
      <c r="A168" s="50"/>
      <c r="B168" s="50"/>
      <c r="C168" s="50"/>
      <c r="D168" s="50"/>
      <c r="E168" s="50"/>
      <c r="F168" s="50" t="s">
        <v>192</v>
      </c>
      <c r="G168" s="51"/>
      <c r="H168" s="51"/>
      <c r="I168" s="51"/>
      <c r="J168" s="51"/>
      <c r="K168" s="51">
        <v>0</v>
      </c>
      <c r="L168" s="51">
        <v>0</v>
      </c>
      <c r="M168" s="51">
        <v>0</v>
      </c>
      <c r="N168" s="51">
        <v>0</v>
      </c>
      <c r="O168" s="51">
        <v>0</v>
      </c>
      <c r="P168" s="51">
        <v>0</v>
      </c>
      <c r="Q168" s="51">
        <v>0</v>
      </c>
      <c r="R168" s="51">
        <v>2082.06</v>
      </c>
      <c r="S168" s="51">
        <v>0</v>
      </c>
      <c r="T168" s="51">
        <v>0</v>
      </c>
      <c r="U168" s="51">
        <v>0</v>
      </c>
      <c r="V168" s="51">
        <v>0</v>
      </c>
      <c r="W168" s="51"/>
      <c r="X168" s="67">
        <f>ROUND(SUM(G168:W168),5)</f>
        <v>2082.06</v>
      </c>
      <c r="Y168" s="67">
        <v>17000</v>
      </c>
      <c r="Z168" s="67">
        <v>17000</v>
      </c>
      <c r="AA168" s="68"/>
    </row>
    <row r="169" spans="1:27" ht="22.2" thickBot="1" x14ac:dyDescent="0.35">
      <c r="A169" s="50"/>
      <c r="B169" s="50"/>
      <c r="C169" s="50"/>
      <c r="D169" s="50"/>
      <c r="E169" s="50"/>
      <c r="F169" s="50" t="s">
        <v>193</v>
      </c>
      <c r="G169" s="51"/>
      <c r="H169" s="51"/>
      <c r="I169" s="51"/>
      <c r="J169" s="51"/>
      <c r="K169" s="51">
        <v>0</v>
      </c>
      <c r="L169" s="51">
        <v>1945</v>
      </c>
      <c r="M169" s="51">
        <v>0</v>
      </c>
      <c r="N169" s="51">
        <v>0</v>
      </c>
      <c r="O169" s="51">
        <v>0</v>
      </c>
      <c r="P169" s="51">
        <v>0</v>
      </c>
      <c r="Q169" s="51">
        <v>0</v>
      </c>
      <c r="R169" s="51">
        <v>0</v>
      </c>
      <c r="S169" s="51">
        <v>0</v>
      </c>
      <c r="T169" s="51">
        <v>0</v>
      </c>
      <c r="U169" s="51">
        <v>0</v>
      </c>
      <c r="V169" s="51">
        <v>0</v>
      </c>
      <c r="W169" s="51"/>
      <c r="X169" s="67">
        <f>ROUND(SUM(G169:W169),5)</f>
        <v>1945</v>
      </c>
      <c r="Y169" s="67">
        <v>5000</v>
      </c>
      <c r="Z169" s="67">
        <v>5000</v>
      </c>
      <c r="AA169" s="68" t="s">
        <v>253</v>
      </c>
    </row>
    <row r="170" spans="1:27" x14ac:dyDescent="0.3">
      <c r="A170" s="50"/>
      <c r="B170" s="50"/>
      <c r="C170" s="50"/>
      <c r="D170" s="50"/>
      <c r="E170" s="50" t="s">
        <v>194</v>
      </c>
      <c r="F170" s="50"/>
      <c r="G170" s="54"/>
      <c r="H170" s="54"/>
      <c r="I170" s="54"/>
      <c r="J170" s="54"/>
      <c r="K170" s="54">
        <f t="shared" ref="K170:V170" si="26">ROUND(SUM(K166:K169),5)</f>
        <v>0</v>
      </c>
      <c r="L170" s="54">
        <f t="shared" si="26"/>
        <v>1945</v>
      </c>
      <c r="M170" s="54">
        <f t="shared" si="26"/>
        <v>0</v>
      </c>
      <c r="N170" s="54">
        <f t="shared" si="26"/>
        <v>0</v>
      </c>
      <c r="O170" s="54">
        <f t="shared" si="26"/>
        <v>0</v>
      </c>
      <c r="P170" s="54">
        <f t="shared" si="26"/>
        <v>0</v>
      </c>
      <c r="Q170" s="54">
        <f t="shared" si="26"/>
        <v>0</v>
      </c>
      <c r="R170" s="54">
        <f t="shared" si="26"/>
        <v>2082.06</v>
      </c>
      <c r="S170" s="54">
        <f t="shared" si="26"/>
        <v>9137.67</v>
      </c>
      <c r="T170" s="54">
        <f t="shared" si="26"/>
        <v>0</v>
      </c>
      <c r="U170" s="54">
        <f t="shared" si="26"/>
        <v>0</v>
      </c>
      <c r="V170" s="54">
        <f t="shared" si="26"/>
        <v>0</v>
      </c>
      <c r="W170" s="54"/>
      <c r="X170" s="73">
        <f>ROUND(SUM(G170:W170),5)</f>
        <v>13164.73</v>
      </c>
      <c r="Y170" s="73">
        <f>ROUND(SUM(Y166:Y169),5)</f>
        <v>97000</v>
      </c>
      <c r="Z170" s="73">
        <f>ROUND(SUM(Z166:Z169),5)</f>
        <v>82000</v>
      </c>
      <c r="AA170" s="74"/>
    </row>
    <row r="171" spans="1:27" x14ac:dyDescent="0.3">
      <c r="A171" s="50"/>
      <c r="B171" s="50"/>
      <c r="C171" s="50"/>
      <c r="D171" s="50" t="s">
        <v>195</v>
      </c>
      <c r="E171" s="50"/>
      <c r="F171" s="50"/>
      <c r="G171" s="51"/>
      <c r="H171" s="51"/>
      <c r="I171" s="51"/>
      <c r="J171" s="51"/>
      <c r="K171" s="61">
        <f t="shared" ref="K171:V171" si="27">ROUND(K156+K162+K165+K170,5)</f>
        <v>0</v>
      </c>
      <c r="L171" s="61">
        <f t="shared" si="27"/>
        <v>1945</v>
      </c>
      <c r="M171" s="61">
        <f t="shared" si="27"/>
        <v>5379.38</v>
      </c>
      <c r="N171" s="61">
        <f t="shared" si="27"/>
        <v>0</v>
      </c>
      <c r="O171" s="61">
        <f t="shared" si="27"/>
        <v>0</v>
      </c>
      <c r="P171" s="61">
        <f t="shared" si="27"/>
        <v>0</v>
      </c>
      <c r="Q171" s="61">
        <f t="shared" si="27"/>
        <v>0</v>
      </c>
      <c r="R171" s="61">
        <f t="shared" si="27"/>
        <v>2082.06</v>
      </c>
      <c r="S171" s="61">
        <f t="shared" si="27"/>
        <v>9137.67</v>
      </c>
      <c r="T171" s="61">
        <f t="shared" si="27"/>
        <v>0</v>
      </c>
      <c r="U171" s="61">
        <f t="shared" si="27"/>
        <v>0</v>
      </c>
      <c r="V171" s="61">
        <f t="shared" si="27"/>
        <v>0</v>
      </c>
      <c r="W171" s="61"/>
      <c r="X171" s="75">
        <f>ROUND(SUM(G171:W171),5)</f>
        <v>18544.11</v>
      </c>
      <c r="Y171" s="75">
        <f>ROUND(Y156+Y162+Y165+Y170,5)</f>
        <v>366500</v>
      </c>
      <c r="Z171" s="75">
        <f>ROUND(Z156+Z162+Z165+Z170,5)</f>
        <v>351500</v>
      </c>
      <c r="AA171" s="76"/>
    </row>
    <row r="172" spans="1:27" x14ac:dyDescent="0.3">
      <c r="A172" s="50"/>
      <c r="B172" s="50"/>
      <c r="C172" s="50"/>
      <c r="D172" s="50"/>
      <c r="E172" s="50"/>
      <c r="F172" s="50"/>
      <c r="G172" s="51"/>
      <c r="H172" s="51"/>
      <c r="I172" s="51"/>
      <c r="J172" s="51"/>
      <c r="K172" s="61"/>
      <c r="L172" s="61"/>
      <c r="M172" s="61"/>
      <c r="N172" s="61"/>
      <c r="O172" s="61"/>
      <c r="P172" s="61"/>
      <c r="Q172" s="61"/>
      <c r="R172" s="61"/>
      <c r="S172" s="61"/>
      <c r="T172" s="61"/>
      <c r="U172" s="61"/>
      <c r="V172" s="61"/>
      <c r="W172" s="61"/>
      <c r="X172" s="50"/>
      <c r="Y172" s="50"/>
      <c r="Z172" s="50"/>
      <c r="AA172" s="50"/>
    </row>
    <row r="173" spans="1:27" x14ac:dyDescent="0.3">
      <c r="A173" s="50"/>
      <c r="B173" s="50"/>
      <c r="C173" s="50"/>
      <c r="D173" s="50"/>
      <c r="E173" s="50"/>
      <c r="F173" s="50"/>
      <c r="G173" s="51"/>
      <c r="H173" s="51"/>
      <c r="I173" s="51"/>
      <c r="J173" s="51"/>
      <c r="K173" s="61"/>
      <c r="L173" s="61"/>
      <c r="M173" s="61"/>
      <c r="N173" s="61"/>
      <c r="O173" s="61"/>
      <c r="P173" s="61"/>
      <c r="Q173" s="61"/>
      <c r="R173" s="61"/>
      <c r="S173" s="61"/>
      <c r="T173" s="61"/>
      <c r="U173" s="61"/>
      <c r="V173" s="61"/>
      <c r="W173" s="61"/>
      <c r="X173" s="50"/>
      <c r="Y173" s="50"/>
      <c r="Z173" s="50"/>
      <c r="AA173" s="50"/>
    </row>
    <row r="174" spans="1:27" x14ac:dyDescent="0.3">
      <c r="A174" s="50"/>
      <c r="B174" s="50"/>
      <c r="C174" s="50"/>
      <c r="D174" s="50"/>
      <c r="E174" s="50"/>
      <c r="F174" s="50"/>
      <c r="G174" s="51"/>
      <c r="H174" s="51"/>
      <c r="I174" s="51"/>
      <c r="J174" s="51"/>
      <c r="K174" s="61"/>
      <c r="L174" s="61"/>
      <c r="M174" s="61"/>
      <c r="N174" s="61"/>
      <c r="O174" s="61"/>
      <c r="P174" s="61"/>
      <c r="Q174" s="61"/>
      <c r="R174" s="61"/>
      <c r="S174" s="61"/>
      <c r="T174" s="61"/>
      <c r="U174" s="61"/>
      <c r="V174" s="61"/>
      <c r="W174" s="61"/>
      <c r="X174" s="50"/>
      <c r="Y174" s="50"/>
      <c r="Z174" s="50"/>
      <c r="AA174" s="50"/>
    </row>
    <row r="175" spans="1:27" x14ac:dyDescent="0.3">
      <c r="A175" s="50"/>
      <c r="B175" s="50"/>
      <c r="C175" s="50"/>
      <c r="D175" s="50"/>
      <c r="E175" s="50"/>
      <c r="F175" s="50"/>
      <c r="G175" s="51"/>
      <c r="H175" s="51"/>
      <c r="I175" s="51"/>
      <c r="J175" s="51"/>
      <c r="K175" s="61"/>
      <c r="L175" s="61"/>
      <c r="M175" s="61"/>
      <c r="N175" s="61"/>
      <c r="O175" s="61"/>
      <c r="P175" s="61"/>
      <c r="Q175" s="61"/>
      <c r="R175" s="61"/>
      <c r="S175" s="61"/>
      <c r="T175" s="61"/>
      <c r="U175" s="61"/>
      <c r="V175" s="61"/>
      <c r="W175" s="61"/>
      <c r="X175" s="50"/>
      <c r="Y175" s="50"/>
      <c r="Z175" s="50"/>
      <c r="AA175" s="50"/>
    </row>
    <row r="176" spans="1:27" ht="39.6" customHeight="1" thickBot="1" x14ac:dyDescent="0.35">
      <c r="A176" s="50"/>
      <c r="B176" s="50"/>
      <c r="C176" s="50"/>
      <c r="D176" s="50" t="s">
        <v>203</v>
      </c>
      <c r="E176" s="50"/>
      <c r="F176" s="50"/>
      <c r="G176" s="51"/>
      <c r="H176" s="51"/>
      <c r="I176" s="51"/>
      <c r="J176" s="51"/>
      <c r="K176" s="60">
        <v>0</v>
      </c>
      <c r="L176" s="60">
        <v>0</v>
      </c>
      <c r="M176" s="60">
        <v>0</v>
      </c>
      <c r="N176" s="60">
        <v>0</v>
      </c>
      <c r="O176" s="60">
        <v>0</v>
      </c>
      <c r="P176" s="60">
        <v>0</v>
      </c>
      <c r="Q176" s="60">
        <v>0</v>
      </c>
      <c r="R176" s="60">
        <v>0</v>
      </c>
      <c r="S176" s="60">
        <v>0</v>
      </c>
      <c r="T176" s="60">
        <v>0</v>
      </c>
      <c r="U176" s="60">
        <v>0</v>
      </c>
      <c r="V176" s="60">
        <v>0</v>
      </c>
      <c r="W176" s="60"/>
      <c r="X176" s="77">
        <v>0</v>
      </c>
      <c r="Y176" s="77">
        <v>177000</v>
      </c>
      <c r="Z176" s="77">
        <f>Z16+Z17+Z23+Z19</f>
        <v>226000</v>
      </c>
      <c r="AA176" s="78" t="s">
        <v>209</v>
      </c>
    </row>
    <row r="177" spans="1:27" ht="52.8" thickBot="1" x14ac:dyDescent="0.35">
      <c r="A177" s="50"/>
      <c r="B177" s="50"/>
      <c r="C177" s="50"/>
      <c r="D177" s="50" t="s">
        <v>204</v>
      </c>
      <c r="E177" s="50"/>
      <c r="F177" s="50"/>
      <c r="G177" s="51"/>
      <c r="H177" s="51"/>
      <c r="I177" s="51"/>
      <c r="J177" s="51"/>
      <c r="K177" s="51">
        <v>0</v>
      </c>
      <c r="L177" s="51">
        <v>0</v>
      </c>
      <c r="M177" s="51">
        <v>0</v>
      </c>
      <c r="N177" s="51">
        <v>0</v>
      </c>
      <c r="O177" s="51">
        <v>0</v>
      </c>
      <c r="P177" s="51">
        <v>0</v>
      </c>
      <c r="Q177" s="51">
        <v>0</v>
      </c>
      <c r="R177" s="51">
        <v>0</v>
      </c>
      <c r="S177" s="51">
        <v>0</v>
      </c>
      <c r="T177" s="51">
        <v>0</v>
      </c>
      <c r="U177" s="51">
        <v>0</v>
      </c>
      <c r="V177" s="51">
        <v>0</v>
      </c>
      <c r="W177" s="51"/>
      <c r="X177" s="67">
        <v>0</v>
      </c>
      <c r="Y177" s="67">
        <v>236020</v>
      </c>
      <c r="Z177" s="67">
        <v>245659</v>
      </c>
      <c r="AA177" s="68" t="s">
        <v>259</v>
      </c>
    </row>
    <row r="178" spans="1:27" ht="15" thickBot="1" x14ac:dyDescent="0.35">
      <c r="A178" s="50"/>
      <c r="B178" s="50"/>
      <c r="C178" s="50" t="s">
        <v>5</v>
      </c>
      <c r="D178" s="50"/>
      <c r="E178" s="50"/>
      <c r="F178" s="50"/>
      <c r="G178" s="53"/>
      <c r="H178" s="53"/>
      <c r="I178" s="53"/>
      <c r="J178" s="53"/>
      <c r="K178" s="53">
        <f>ROUND(K39+K68+K149+K155+K171,5)+K176+K177</f>
        <v>27999</v>
      </c>
      <c r="L178" s="53">
        <f t="shared" ref="L178:Z178" si="28">ROUND(L39+L68+L149+L155+L171,5)+L176+L177</f>
        <v>43641.53</v>
      </c>
      <c r="M178" s="53">
        <f t="shared" si="28"/>
        <v>40907.26</v>
      </c>
      <c r="N178" s="53">
        <f t="shared" si="28"/>
        <v>48192.54</v>
      </c>
      <c r="O178" s="53">
        <f t="shared" si="28"/>
        <v>32728.26</v>
      </c>
      <c r="P178" s="53">
        <f t="shared" si="28"/>
        <v>36866.379999999997</v>
      </c>
      <c r="Q178" s="53">
        <f t="shared" si="28"/>
        <v>44453.31</v>
      </c>
      <c r="R178" s="53">
        <f t="shared" si="28"/>
        <v>32567.72</v>
      </c>
      <c r="S178" s="53">
        <f t="shared" si="28"/>
        <v>48013.1</v>
      </c>
      <c r="T178" s="53">
        <f t="shared" si="28"/>
        <v>52967.27</v>
      </c>
      <c r="U178" s="53">
        <f t="shared" si="28"/>
        <v>50116.65</v>
      </c>
      <c r="V178" s="53">
        <f t="shared" si="28"/>
        <v>98258.22</v>
      </c>
      <c r="W178" s="53">
        <f t="shared" si="28"/>
        <v>0</v>
      </c>
      <c r="X178" s="71">
        <f t="shared" si="28"/>
        <v>556711.24</v>
      </c>
      <c r="Y178" s="71">
        <f t="shared" si="28"/>
        <v>1445300</v>
      </c>
      <c r="Z178" s="71">
        <f t="shared" si="28"/>
        <v>1552500</v>
      </c>
      <c r="AA178" s="72"/>
    </row>
    <row r="179" spans="1:27" x14ac:dyDescent="0.3">
      <c r="A179" s="50" t="s">
        <v>6</v>
      </c>
      <c r="B179" s="50"/>
      <c r="C179" s="50"/>
      <c r="D179" s="50"/>
      <c r="E179" s="50"/>
      <c r="F179" s="50"/>
      <c r="G179" s="51"/>
      <c r="H179" s="51"/>
      <c r="I179" s="51"/>
      <c r="J179" s="51"/>
      <c r="K179" s="51">
        <f t="shared" ref="K179:V179" si="29">ROUND(K2+K38-K178,5)</f>
        <v>-8841.0400000000009</v>
      </c>
      <c r="L179" s="51">
        <f t="shared" si="29"/>
        <v>-10879.27</v>
      </c>
      <c r="M179" s="51">
        <f t="shared" si="29"/>
        <v>-2325.44</v>
      </c>
      <c r="N179" s="51">
        <f t="shared" si="29"/>
        <v>43497.59</v>
      </c>
      <c r="O179" s="51">
        <f t="shared" si="29"/>
        <v>-13444.18</v>
      </c>
      <c r="P179" s="51">
        <f t="shared" si="29"/>
        <v>210923.04</v>
      </c>
      <c r="Q179" s="51">
        <f t="shared" si="29"/>
        <v>211891.47</v>
      </c>
      <c r="R179" s="51">
        <f t="shared" si="29"/>
        <v>26678.65</v>
      </c>
      <c r="S179" s="51">
        <f t="shared" si="29"/>
        <v>17447.71</v>
      </c>
      <c r="T179" s="51">
        <f t="shared" si="29"/>
        <v>44297.38</v>
      </c>
      <c r="U179" s="51">
        <f t="shared" si="29"/>
        <v>172821.62</v>
      </c>
      <c r="V179" s="51">
        <f t="shared" si="29"/>
        <v>16430.13</v>
      </c>
      <c r="W179" s="51"/>
      <c r="X179" s="67">
        <f>ROUND(SUM(G179:W179),5)</f>
        <v>708497.66</v>
      </c>
      <c r="Y179" s="67">
        <f>ROUND(Y2+Y38-Y178,5)</f>
        <v>-366500</v>
      </c>
      <c r="Z179" s="67">
        <f>ROUND(Z2+Z38-Z178,5)</f>
        <v>-351500</v>
      </c>
      <c r="AA179" s="68"/>
    </row>
    <row r="180" spans="1:27" x14ac:dyDescent="0.3">
      <c r="A180" s="50" t="s">
        <v>7</v>
      </c>
      <c r="B180" s="50"/>
      <c r="C180" s="50"/>
      <c r="D180" s="50"/>
      <c r="E180" s="50"/>
      <c r="F180" s="50"/>
      <c r="G180" s="51"/>
      <c r="H180" s="51"/>
      <c r="I180" s="51"/>
      <c r="J180" s="51"/>
      <c r="K180" s="51"/>
      <c r="L180" s="51"/>
      <c r="M180" s="51"/>
      <c r="N180" s="51"/>
      <c r="O180" s="51"/>
      <c r="P180" s="51"/>
      <c r="Q180" s="51"/>
      <c r="R180" s="51"/>
      <c r="S180" s="51"/>
      <c r="T180" s="51"/>
      <c r="U180" s="51"/>
      <c r="V180" s="51"/>
      <c r="W180" s="51"/>
      <c r="X180" s="67"/>
      <c r="Y180" s="67"/>
      <c r="Z180" s="67"/>
      <c r="AA180" s="68"/>
    </row>
    <row r="181" spans="1:27" x14ac:dyDescent="0.3">
      <c r="A181" s="50"/>
      <c r="B181" s="50" t="s">
        <v>8</v>
      </c>
      <c r="C181" s="50"/>
      <c r="D181" s="50"/>
      <c r="E181" s="50"/>
      <c r="F181" s="50"/>
      <c r="G181" s="51"/>
      <c r="H181" s="51"/>
      <c r="I181" s="51"/>
      <c r="J181" s="51"/>
      <c r="K181" s="51"/>
      <c r="L181" s="51"/>
      <c r="M181" s="51"/>
      <c r="N181" s="51"/>
      <c r="O181" s="51"/>
      <c r="P181" s="51"/>
      <c r="Q181" s="51"/>
      <c r="R181" s="51"/>
      <c r="S181" s="51"/>
      <c r="T181" s="51"/>
      <c r="U181" s="51"/>
      <c r="V181" s="51"/>
      <c r="W181" s="51"/>
      <c r="X181" s="67"/>
      <c r="Y181" s="67"/>
      <c r="Z181" s="67"/>
      <c r="AA181" s="68"/>
    </row>
    <row r="182" spans="1:27" ht="28.2" customHeight="1" x14ac:dyDescent="0.3">
      <c r="A182" s="50"/>
      <c r="B182" s="50"/>
      <c r="C182" s="50" t="s">
        <v>196</v>
      </c>
      <c r="D182" s="50"/>
      <c r="E182" s="50"/>
      <c r="F182" s="50"/>
      <c r="G182" s="51"/>
      <c r="H182" s="51"/>
      <c r="I182" s="51"/>
      <c r="J182" s="51"/>
      <c r="K182" s="51">
        <v>0</v>
      </c>
      <c r="L182" s="51">
        <v>0</v>
      </c>
      <c r="M182" s="51">
        <v>0</v>
      </c>
      <c r="N182" s="51">
        <v>0</v>
      </c>
      <c r="O182" s="51">
        <v>0</v>
      </c>
      <c r="P182" s="51">
        <v>0</v>
      </c>
      <c r="Q182" s="51">
        <v>2768.64</v>
      </c>
      <c r="R182" s="51">
        <v>0</v>
      </c>
      <c r="S182" s="51">
        <v>0</v>
      </c>
      <c r="T182" s="51">
        <v>0</v>
      </c>
      <c r="U182" s="51">
        <v>0</v>
      </c>
      <c r="V182" s="51">
        <v>0</v>
      </c>
      <c r="W182" s="51"/>
      <c r="X182" s="67">
        <f>ROUND(SUM(G182:W182),5)</f>
        <v>2768.64</v>
      </c>
      <c r="Y182" s="67">
        <v>0</v>
      </c>
      <c r="Z182" s="67">
        <v>0</v>
      </c>
      <c r="AA182" s="68" t="s">
        <v>206</v>
      </c>
    </row>
    <row r="183" spans="1:27" ht="30.6" customHeight="1" thickBot="1" x14ac:dyDescent="0.35">
      <c r="A183" s="50"/>
      <c r="B183" s="50"/>
      <c r="C183" s="50" t="s">
        <v>197</v>
      </c>
      <c r="D183" s="50"/>
      <c r="E183" s="50"/>
      <c r="F183" s="50"/>
      <c r="G183" s="51"/>
      <c r="H183" s="51"/>
      <c r="I183" s="51"/>
      <c r="J183" s="51"/>
      <c r="K183" s="51">
        <v>3379.65</v>
      </c>
      <c r="L183" s="51">
        <v>-3012.35</v>
      </c>
      <c r="M183" s="51">
        <v>-3352.29</v>
      </c>
      <c r="N183" s="51">
        <v>-8759.74</v>
      </c>
      <c r="O183" s="51">
        <v>2275.2600000000002</v>
      </c>
      <c r="P183" s="51">
        <v>-9141.42</v>
      </c>
      <c r="Q183" s="51">
        <v>-5290.7</v>
      </c>
      <c r="R183" s="51">
        <v>-9875.18</v>
      </c>
      <c r="S183" s="51">
        <v>-10281.08</v>
      </c>
      <c r="T183" s="51">
        <v>-4192.53</v>
      </c>
      <c r="U183" s="51">
        <v>11137.13</v>
      </c>
      <c r="V183" s="51">
        <v>-416.52</v>
      </c>
      <c r="W183" s="51"/>
      <c r="X183" s="67">
        <f>ROUND(SUM(G183:W183),5)</f>
        <v>-37529.769999999997</v>
      </c>
      <c r="Y183" s="67">
        <v>0</v>
      </c>
      <c r="Z183" s="67">
        <v>0</v>
      </c>
      <c r="AA183" s="68" t="s">
        <v>206</v>
      </c>
    </row>
    <row r="184" spans="1:27" ht="15" thickBot="1" x14ac:dyDescent="0.35">
      <c r="A184" s="50"/>
      <c r="B184" s="50" t="s">
        <v>9</v>
      </c>
      <c r="C184" s="50"/>
      <c r="D184" s="50"/>
      <c r="E184" s="50"/>
      <c r="F184" s="50"/>
      <c r="G184" s="54"/>
      <c r="H184" s="54"/>
      <c r="I184" s="54"/>
      <c r="J184" s="54"/>
      <c r="K184" s="54">
        <f t="shared" ref="K184:V184" si="30">ROUND(SUM(K181:K183),5)</f>
        <v>3379.65</v>
      </c>
      <c r="L184" s="54">
        <f t="shared" si="30"/>
        <v>-3012.35</v>
      </c>
      <c r="M184" s="54">
        <f t="shared" si="30"/>
        <v>-3352.29</v>
      </c>
      <c r="N184" s="54">
        <f t="shared" si="30"/>
        <v>-8759.74</v>
      </c>
      <c r="O184" s="54">
        <f t="shared" si="30"/>
        <v>2275.2600000000002</v>
      </c>
      <c r="P184" s="54">
        <f t="shared" si="30"/>
        <v>-9141.42</v>
      </c>
      <c r="Q184" s="54">
        <f t="shared" si="30"/>
        <v>-2522.06</v>
      </c>
      <c r="R184" s="54">
        <f t="shared" si="30"/>
        <v>-9875.18</v>
      </c>
      <c r="S184" s="54">
        <f t="shared" si="30"/>
        <v>-10281.08</v>
      </c>
      <c r="T184" s="54">
        <f t="shared" si="30"/>
        <v>-4192.53</v>
      </c>
      <c r="U184" s="54">
        <f t="shared" si="30"/>
        <v>11137.13</v>
      </c>
      <c r="V184" s="54">
        <f t="shared" si="30"/>
        <v>-416.52</v>
      </c>
      <c r="W184" s="54"/>
      <c r="X184" s="73">
        <f>ROUND(SUM(G184:W184),5)</f>
        <v>-34761.129999999997</v>
      </c>
      <c r="Y184" s="73">
        <f>ROUND(SUM(Y181:Y183),5)</f>
        <v>0</v>
      </c>
      <c r="Z184" s="73">
        <f>ROUND(SUM(Z181:Z183),5)</f>
        <v>0</v>
      </c>
      <c r="AA184" s="74"/>
    </row>
    <row r="185" spans="1:27" ht="15" thickBot="1" x14ac:dyDescent="0.35">
      <c r="A185" s="50" t="s">
        <v>10</v>
      </c>
      <c r="B185" s="50"/>
      <c r="C185" s="50"/>
      <c r="D185" s="50"/>
      <c r="E185" s="50"/>
      <c r="F185" s="50"/>
      <c r="G185" s="54"/>
      <c r="H185" s="54"/>
      <c r="I185" s="54"/>
      <c r="J185" s="54"/>
      <c r="K185" s="54">
        <f t="shared" ref="K185:V185" si="31">ROUND(K180+K184,5)</f>
        <v>3379.65</v>
      </c>
      <c r="L185" s="54">
        <f t="shared" si="31"/>
        <v>-3012.35</v>
      </c>
      <c r="M185" s="54">
        <f t="shared" si="31"/>
        <v>-3352.29</v>
      </c>
      <c r="N185" s="54">
        <f t="shared" si="31"/>
        <v>-8759.74</v>
      </c>
      <c r="O185" s="54">
        <f t="shared" si="31"/>
        <v>2275.2600000000002</v>
      </c>
      <c r="P185" s="54">
        <f t="shared" si="31"/>
        <v>-9141.42</v>
      </c>
      <c r="Q185" s="54">
        <f t="shared" si="31"/>
        <v>-2522.06</v>
      </c>
      <c r="R185" s="54">
        <f t="shared" si="31"/>
        <v>-9875.18</v>
      </c>
      <c r="S185" s="54">
        <f t="shared" si="31"/>
        <v>-10281.08</v>
      </c>
      <c r="T185" s="54">
        <f t="shared" si="31"/>
        <v>-4192.53</v>
      </c>
      <c r="U185" s="54">
        <f t="shared" si="31"/>
        <v>11137.13</v>
      </c>
      <c r="V185" s="54">
        <f t="shared" si="31"/>
        <v>-416.52</v>
      </c>
      <c r="W185" s="54"/>
      <c r="X185" s="73">
        <f>ROUND(SUM(G185:W185),5)</f>
        <v>-34761.129999999997</v>
      </c>
      <c r="Y185" s="73">
        <f>ROUND(Y180+Y184,5)</f>
        <v>0</v>
      </c>
      <c r="Z185" s="73">
        <f>ROUND(Z180+Z184,5)</f>
        <v>0</v>
      </c>
      <c r="AA185" s="74"/>
    </row>
    <row r="186" spans="1:27" s="56" customFormat="1" ht="10.8" thickBot="1" x14ac:dyDescent="0.25">
      <c r="A186" s="50"/>
      <c r="B186" s="50"/>
      <c r="C186" s="50"/>
      <c r="D186" s="50"/>
      <c r="E186" s="50"/>
      <c r="F186" s="50"/>
      <c r="G186" s="55"/>
      <c r="H186" s="55"/>
      <c r="I186" s="55"/>
      <c r="J186" s="55"/>
      <c r="K186" s="55">
        <f t="shared" ref="K186:V186" si="32">ROUND(K179+K185,5)</f>
        <v>-5461.39</v>
      </c>
      <c r="L186" s="55">
        <f t="shared" si="32"/>
        <v>-13891.62</v>
      </c>
      <c r="M186" s="55">
        <f t="shared" si="32"/>
        <v>-5677.73</v>
      </c>
      <c r="N186" s="55">
        <f t="shared" si="32"/>
        <v>34737.85</v>
      </c>
      <c r="O186" s="55">
        <f t="shared" si="32"/>
        <v>-11168.92</v>
      </c>
      <c r="P186" s="55">
        <f t="shared" si="32"/>
        <v>201781.62</v>
      </c>
      <c r="Q186" s="55">
        <f t="shared" si="32"/>
        <v>209369.41</v>
      </c>
      <c r="R186" s="55">
        <f t="shared" si="32"/>
        <v>16803.47</v>
      </c>
      <c r="S186" s="55">
        <f t="shared" si="32"/>
        <v>7166.63</v>
      </c>
      <c r="T186" s="55">
        <f t="shared" si="32"/>
        <v>40104.85</v>
      </c>
      <c r="U186" s="55">
        <f t="shared" si="32"/>
        <v>183958.75</v>
      </c>
      <c r="V186" s="55">
        <f t="shared" si="32"/>
        <v>16013.61</v>
      </c>
      <c r="W186" s="55"/>
      <c r="X186" s="79">
        <f>ROUND(SUM(G186:W186),5)</f>
        <v>673736.53</v>
      </c>
      <c r="Y186" s="79">
        <f>ROUND(Y179+Y185,5)</f>
        <v>-366500</v>
      </c>
      <c r="Z186" s="79">
        <f>ROUND(Z179+Z185,5)</f>
        <v>-351500</v>
      </c>
      <c r="AA186" s="80"/>
    </row>
    <row r="187" spans="1:27" ht="15" thickTop="1" x14ac:dyDescent="0.3"/>
  </sheetData>
  <printOptions horizontalCentered="1"/>
  <pageMargins left="0.2" right="0.2" top="0.75" bottom="0.75" header="0.1" footer="0.3"/>
  <pageSetup orientation="portrait" horizontalDpi="0" verticalDpi="0" r:id="rId1"/>
  <headerFooter>
    <oddHeader xml:space="preserve">&amp;C&amp;"Arial,Bold"&amp;12 Temecula Public Cemetery District
&amp;14 Draft Budget #2 
FYE 06/30/2022
</oddHeader>
    <oddFooter>&amp;R&amp;"Arial,Bold"&amp;8 Page &amp;P of &amp;N</oddFooter>
  </headerFooter>
  <drawing r:id="rId2"/>
  <legacyDrawing r:id="rId3"/>
  <controls>
    <mc:AlternateContent xmlns:mc="http://schemas.openxmlformats.org/markup-compatibility/2006">
      <mc:Choice Requires="x14">
        <control shapeId="104450" r:id="rId4" name="HEADER">
          <controlPr defaultSize="0" autoLine="0" r:id="rId5">
            <anchor moveWithCells="1">
              <from>
                <xdr:col>0</xdr:col>
                <xdr:colOff>0</xdr:colOff>
                <xdr:row>0</xdr:row>
                <xdr:rowOff>0</xdr:rowOff>
              </from>
              <to>
                <xdr:col>4</xdr:col>
                <xdr:colOff>68580</xdr:colOff>
                <xdr:row>0</xdr:row>
                <xdr:rowOff>228600</xdr:rowOff>
              </to>
            </anchor>
          </controlPr>
        </control>
      </mc:Choice>
      <mc:Fallback>
        <control shapeId="104450" r:id="rId4" name="HEADER"/>
      </mc:Fallback>
    </mc:AlternateContent>
    <mc:AlternateContent xmlns:mc="http://schemas.openxmlformats.org/markup-compatibility/2006">
      <mc:Choice Requires="x14">
        <control shapeId="104449" r:id="rId6" name="FILTER">
          <controlPr defaultSize="0" autoLine="0" r:id="rId7">
            <anchor moveWithCells="1">
              <from>
                <xdr:col>0</xdr:col>
                <xdr:colOff>0</xdr:colOff>
                <xdr:row>0</xdr:row>
                <xdr:rowOff>0</xdr:rowOff>
              </from>
              <to>
                <xdr:col>4</xdr:col>
                <xdr:colOff>68580</xdr:colOff>
                <xdr:row>0</xdr:row>
                <xdr:rowOff>228600</xdr:rowOff>
              </to>
            </anchor>
          </controlPr>
        </control>
      </mc:Choice>
      <mc:Fallback>
        <control shapeId="104449" r:id="rId6" name="FILTER"/>
      </mc:Fallback>
    </mc:AlternateContent>
  </control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A4823-EB34-41F8-8738-2037B351E7FF}">
  <sheetPr>
    <pageSetUpPr fitToPage="1"/>
  </sheetPr>
  <dimension ref="A1:P89"/>
  <sheetViews>
    <sheetView topLeftCell="A2" workbookViewId="0">
      <selection activeCell="A17" sqref="A17"/>
    </sheetView>
  </sheetViews>
  <sheetFormatPr defaultRowHeight="14.4" x14ac:dyDescent="0.3"/>
  <cols>
    <col min="1" max="1" width="33.6640625" bestFit="1" customWidth="1"/>
    <col min="2" max="2" width="11.109375" style="2" bestFit="1" customWidth="1"/>
    <col min="3" max="3" width="9.5546875" style="2" bestFit="1" customWidth="1"/>
    <col min="4" max="4" width="11.5546875" style="2" bestFit="1" customWidth="1"/>
    <col min="5" max="5" width="11.5546875" bestFit="1" customWidth="1"/>
    <col min="6" max="6" width="9.109375" style="5"/>
    <col min="7" max="7" width="14.88671875" customWidth="1"/>
    <col min="8" max="8" width="10.44140625" style="2" customWidth="1"/>
    <col min="9" max="10" width="11.5546875" style="2" bestFit="1" customWidth="1"/>
    <col min="11" max="11" width="10.5546875" bestFit="1" customWidth="1"/>
    <col min="12" max="12" width="13.44140625" style="2" customWidth="1"/>
    <col min="14" max="14" width="9.109375" style="13"/>
    <col min="15" max="15" width="12.6640625" style="2" customWidth="1"/>
  </cols>
  <sheetData>
    <row r="1" spans="1:15" x14ac:dyDescent="0.3">
      <c r="A1" t="s">
        <v>12</v>
      </c>
      <c r="D1" s="123" t="s">
        <v>13</v>
      </c>
      <c r="E1" s="4"/>
      <c r="G1" s="40" t="s">
        <v>70</v>
      </c>
      <c r="H1" s="2" t="s">
        <v>217</v>
      </c>
      <c r="N1" s="6" t="s">
        <v>14</v>
      </c>
      <c r="O1" s="6"/>
    </row>
    <row r="2" spans="1:15" ht="43.2" x14ac:dyDescent="0.3">
      <c r="B2" s="7" t="s">
        <v>15</v>
      </c>
      <c r="C2" s="7" t="s">
        <v>16</v>
      </c>
      <c r="D2" s="112" t="s">
        <v>288</v>
      </c>
      <c r="E2" s="7" t="s">
        <v>18</v>
      </c>
      <c r="F2" s="8" t="s">
        <v>19</v>
      </c>
      <c r="H2" s="9" t="s">
        <v>20</v>
      </c>
      <c r="I2" s="9" t="s">
        <v>21</v>
      </c>
      <c r="J2" s="9" t="s">
        <v>22</v>
      </c>
      <c r="L2" s="9" t="s">
        <v>23</v>
      </c>
      <c r="N2" s="10" t="s">
        <v>24</v>
      </c>
      <c r="O2" s="2" t="s">
        <v>25</v>
      </c>
    </row>
    <row r="3" spans="1:15" x14ac:dyDescent="0.3">
      <c r="A3" s="40" t="s">
        <v>26</v>
      </c>
      <c r="B3" s="41">
        <v>40</v>
      </c>
      <c r="C3" s="41">
        <v>55.65</v>
      </c>
      <c r="D3" s="121">
        <v>58.99</v>
      </c>
      <c r="E3" s="121">
        <f>D3*2080</f>
        <v>122699.2</v>
      </c>
      <c r="F3" s="125">
        <v>0.09</v>
      </c>
      <c r="G3" s="43" t="s">
        <v>27</v>
      </c>
      <c r="H3" s="41">
        <v>738.29</v>
      </c>
      <c r="I3" s="41">
        <v>53.24</v>
      </c>
      <c r="J3" s="41">
        <v>14.84</v>
      </c>
      <c r="K3" s="40"/>
      <c r="L3" s="41">
        <f>ROUND(0.11*E3,2)</f>
        <v>13496.91</v>
      </c>
      <c r="N3" s="6">
        <v>8.7599999999999997E-2</v>
      </c>
      <c r="O3" s="2">
        <f>ROUND(E3*N3,2)</f>
        <v>10748.45</v>
      </c>
    </row>
    <row r="4" spans="1:15" x14ac:dyDescent="0.3">
      <c r="A4" s="40" t="s">
        <v>211</v>
      </c>
      <c r="B4" s="41"/>
      <c r="C4" s="41"/>
      <c r="E4" s="121">
        <f>240*D3</f>
        <v>14157.6</v>
      </c>
      <c r="F4" s="11"/>
      <c r="G4" s="43"/>
      <c r="H4" s="41"/>
      <c r="I4" s="41"/>
      <c r="J4" s="41"/>
      <c r="K4" s="40"/>
      <c r="L4" s="41">
        <f>ROUND(0.11*E4,2)</f>
        <v>1557.34</v>
      </c>
      <c r="N4" s="6">
        <v>8.7599999999999997E-2</v>
      </c>
      <c r="O4" s="2">
        <f>ROUND(E4*N4,2)</f>
        <v>1240.21</v>
      </c>
    </row>
    <row r="5" spans="1:15" x14ac:dyDescent="0.3">
      <c r="A5" s="40" t="s">
        <v>28</v>
      </c>
      <c r="B5" s="41">
        <v>40</v>
      </c>
      <c r="C5" s="41">
        <v>17.3</v>
      </c>
      <c r="D5" s="123">
        <v>23</v>
      </c>
      <c r="E5" s="121">
        <f>ROUND(B5*D5,2)*52</f>
        <v>47840</v>
      </c>
      <c r="F5" s="122">
        <f>ROUND((D5-C5)/C5,4)</f>
        <v>0.32950000000000002</v>
      </c>
      <c r="G5" s="43" t="s">
        <v>29</v>
      </c>
      <c r="H5" s="41">
        <v>748.73</v>
      </c>
      <c r="I5" s="41">
        <v>53.24</v>
      </c>
      <c r="J5" s="41">
        <v>14.84</v>
      </c>
      <c r="K5" s="40"/>
      <c r="L5" s="41">
        <f>ROUND(E5*0.05,2)</f>
        <v>2392</v>
      </c>
      <c r="N5" s="6">
        <v>8.7599999999999997E-2</v>
      </c>
      <c r="O5" s="2">
        <f t="shared" ref="O5:O8" si="0">ROUND(E5*N5,2)</f>
        <v>4190.78</v>
      </c>
    </row>
    <row r="6" spans="1:15" x14ac:dyDescent="0.3">
      <c r="A6" s="40" t="s">
        <v>30</v>
      </c>
      <c r="B6" s="41">
        <v>40</v>
      </c>
      <c r="C6" s="41">
        <v>27.3</v>
      </c>
      <c r="D6" s="123">
        <v>30.5</v>
      </c>
      <c r="E6" s="121">
        <f>ROUND(B6*D6,2)*52</f>
        <v>63440</v>
      </c>
      <c r="F6" s="122">
        <f t="shared" ref="F6:F7" si="1">ROUND((D6-C6)/C6,4)</f>
        <v>0.1172</v>
      </c>
      <c r="G6" s="43" t="s">
        <v>29</v>
      </c>
      <c r="H6" s="41">
        <v>1946.7</v>
      </c>
      <c r="I6" s="41">
        <v>101.92</v>
      </c>
      <c r="J6" s="41">
        <v>20.83</v>
      </c>
      <c r="K6" s="40"/>
      <c r="L6" s="41">
        <f>ROUND(E6*0.05,2)</f>
        <v>3172</v>
      </c>
      <c r="N6" s="6">
        <v>8.7599999999999997E-2</v>
      </c>
      <c r="O6" s="2">
        <f t="shared" si="0"/>
        <v>5557.34</v>
      </c>
    </row>
    <row r="7" spans="1:15" x14ac:dyDescent="0.3">
      <c r="A7" s="40" t="s">
        <v>285</v>
      </c>
      <c r="B7" s="41">
        <v>40</v>
      </c>
      <c r="C7" s="41">
        <v>16.3</v>
      </c>
      <c r="D7" s="123">
        <v>17.93</v>
      </c>
      <c r="E7" s="121">
        <f t="shared" ref="E7:E8" si="2">ROUND(B7*D7,2)*52</f>
        <v>37294.400000000001</v>
      </c>
      <c r="F7" s="122">
        <f t="shared" si="1"/>
        <v>0.1</v>
      </c>
      <c r="G7" s="43" t="s">
        <v>29</v>
      </c>
      <c r="H7" s="41">
        <v>0</v>
      </c>
      <c r="I7" s="41">
        <v>0</v>
      </c>
      <c r="J7" s="41">
        <v>0</v>
      </c>
      <c r="K7" s="40"/>
      <c r="L7" s="41">
        <f>ROUND(E7*0.05,2)</f>
        <v>1864.72</v>
      </c>
      <c r="N7" s="6">
        <v>8.7599999999999997E-2</v>
      </c>
      <c r="O7" s="2">
        <f t="shared" si="0"/>
        <v>3266.99</v>
      </c>
    </row>
    <row r="8" spans="1:15" x14ac:dyDescent="0.3">
      <c r="A8" s="40" t="s">
        <v>289</v>
      </c>
      <c r="B8" s="41">
        <v>40</v>
      </c>
      <c r="C8" s="42"/>
      <c r="D8" s="124">
        <v>16</v>
      </c>
      <c r="E8" s="121">
        <f t="shared" si="2"/>
        <v>33280</v>
      </c>
      <c r="F8" s="13"/>
      <c r="G8" s="43" t="s">
        <v>29</v>
      </c>
      <c r="H8" s="41">
        <v>748.73</v>
      </c>
      <c r="I8" s="41">
        <v>53.24</v>
      </c>
      <c r="J8" s="41">
        <v>14.84</v>
      </c>
      <c r="K8" s="40"/>
      <c r="L8" s="41">
        <f>ROUND(E8*0.05,2)/2</f>
        <v>832</v>
      </c>
      <c r="N8" s="6">
        <v>5.4999999999999997E-3</v>
      </c>
      <c r="O8" s="2">
        <f t="shared" si="0"/>
        <v>183.04</v>
      </c>
    </row>
    <row r="9" spans="1:15" ht="15" thickBot="1" x14ac:dyDescent="0.35">
      <c r="E9" s="126">
        <f>SUM(E3:E8)</f>
        <v>318711.2</v>
      </c>
      <c r="G9" t="s">
        <v>33</v>
      </c>
      <c r="H9" s="17">
        <f>SUM(H3:H8)</f>
        <v>4182.4500000000007</v>
      </c>
      <c r="I9" s="17">
        <f t="shared" ref="I9:J9" si="3">SUM(I3:I8)</f>
        <v>261.64</v>
      </c>
      <c r="J9" s="17">
        <f t="shared" si="3"/>
        <v>65.349999999999994</v>
      </c>
      <c r="L9" s="16">
        <f>SUM(L3:L8)</f>
        <v>23314.97</v>
      </c>
      <c r="N9" s="6"/>
      <c r="O9" s="16">
        <f>SUM(O3:O8)</f>
        <v>25186.809999999998</v>
      </c>
    </row>
    <row r="10" spans="1:15" ht="15.6" thickTop="1" thickBot="1" x14ac:dyDescent="0.35">
      <c r="E10" s="2"/>
      <c r="F10" s="5" t="s">
        <v>244</v>
      </c>
      <c r="G10" t="s">
        <v>18</v>
      </c>
      <c r="H10" s="17">
        <f>ROUND(H9*12,0)</f>
        <v>50189</v>
      </c>
      <c r="I10" s="17">
        <f t="shared" ref="I10:J10" si="4">ROUND(I9*12,0)</f>
        <v>3140</v>
      </c>
      <c r="J10" s="17">
        <f t="shared" si="4"/>
        <v>784</v>
      </c>
      <c r="K10" s="18">
        <f>SUM(H10:J10)</f>
        <v>54113</v>
      </c>
      <c r="N10" s="6"/>
    </row>
    <row r="11" spans="1:15" ht="15" thickTop="1" x14ac:dyDescent="0.3">
      <c r="E11" s="2"/>
      <c r="G11" t="s">
        <v>218</v>
      </c>
      <c r="H11" s="2">
        <f>ROUND(H10*0.027,2)</f>
        <v>1355.1</v>
      </c>
      <c r="K11" t="s">
        <v>34</v>
      </c>
      <c r="L11" s="2">
        <f>15*5*150</f>
        <v>11250</v>
      </c>
      <c r="N11" s="6">
        <v>6.3E-3</v>
      </c>
      <c r="O11" s="2">
        <f>L11*N11</f>
        <v>70.875</v>
      </c>
    </row>
    <row r="12" spans="1:15" x14ac:dyDescent="0.3">
      <c r="A12" t="s">
        <v>35</v>
      </c>
      <c r="E12" s="2"/>
      <c r="G12" t="s">
        <v>219</v>
      </c>
      <c r="H12" s="7">
        <f>SUM(H10:H11)</f>
        <v>51544.1</v>
      </c>
      <c r="N12" s="6"/>
    </row>
    <row r="13" spans="1:15" x14ac:dyDescent="0.3">
      <c r="A13" t="s">
        <v>37</v>
      </c>
      <c r="H13" s="2" t="s">
        <v>311</v>
      </c>
      <c r="N13" s="6"/>
    </row>
    <row r="14" spans="1:15" x14ac:dyDescent="0.3">
      <c r="F14" s="5" t="s">
        <v>39</v>
      </c>
      <c r="N14" s="6"/>
    </row>
    <row r="15" spans="1:15" x14ac:dyDescent="0.3">
      <c r="A15" s="19" t="s">
        <v>290</v>
      </c>
      <c r="N15" s="6"/>
    </row>
    <row r="16" spans="1:15" x14ac:dyDescent="0.3">
      <c r="A16" t="s">
        <v>330</v>
      </c>
      <c r="B16" s="2" t="s">
        <v>45</v>
      </c>
      <c r="C16" s="2" t="s">
        <v>46</v>
      </c>
      <c r="N16" s="6"/>
    </row>
    <row r="17" spans="1:16" x14ac:dyDescent="0.3">
      <c r="A17" s="40" t="str">
        <f>A3</f>
        <v>Cindi Beaudet</v>
      </c>
      <c r="B17" s="41">
        <v>3000</v>
      </c>
      <c r="C17" s="41">
        <f>B17*1.27</f>
        <v>3810</v>
      </c>
      <c r="H17" s="2" t="s">
        <v>36</v>
      </c>
      <c r="J17" s="2">
        <f>SUM(E9)</f>
        <v>318711.2</v>
      </c>
    </row>
    <row r="18" spans="1:16" ht="15" thickBot="1" x14ac:dyDescent="0.35">
      <c r="A18" s="40" t="str">
        <f>A5</f>
        <v>Kyle Means</v>
      </c>
      <c r="B18" s="41">
        <v>500</v>
      </c>
      <c r="C18" s="41">
        <f t="shared" ref="C18:C21" si="5">B18*1.27</f>
        <v>635</v>
      </c>
      <c r="H18" s="2" t="s">
        <v>38</v>
      </c>
      <c r="O18" s="16">
        <f>SUM(O9:O11)</f>
        <v>25257.684999999998</v>
      </c>
    </row>
    <row r="19" spans="1:16" ht="15.6" thickTop="1" thickBot="1" x14ac:dyDescent="0.35">
      <c r="A19" s="40" t="str">
        <f t="shared" ref="A19:A21" si="6">A6</f>
        <v>Joseph Sands</v>
      </c>
      <c r="B19" s="41">
        <v>800</v>
      </c>
      <c r="C19" s="41">
        <f t="shared" si="5"/>
        <v>1016</v>
      </c>
      <c r="G19" t="s">
        <v>244</v>
      </c>
      <c r="H19" s="2" t="s">
        <v>40</v>
      </c>
      <c r="J19" s="16">
        <f>SUM(J17:J18)</f>
        <v>318711.2</v>
      </c>
      <c r="N19" s="13" t="s">
        <v>41</v>
      </c>
    </row>
    <row r="20" spans="1:16" ht="15" thickTop="1" x14ac:dyDescent="0.3">
      <c r="A20" s="40" t="str">
        <f t="shared" si="6"/>
        <v>Jonathan Fernandez</v>
      </c>
      <c r="B20" s="41">
        <v>400</v>
      </c>
      <c r="C20" s="41">
        <f t="shared" si="5"/>
        <v>508</v>
      </c>
      <c r="N20" s="13" t="s">
        <v>43</v>
      </c>
    </row>
    <row r="21" spans="1:16" x14ac:dyDescent="0.3">
      <c r="A21" s="40" t="str">
        <f t="shared" si="6"/>
        <v xml:space="preserve">Admin </v>
      </c>
      <c r="B21" s="41">
        <v>350</v>
      </c>
      <c r="C21" s="41">
        <f t="shared" si="5"/>
        <v>444.5</v>
      </c>
      <c r="N21" s="13" t="s">
        <v>47</v>
      </c>
      <c r="O21" s="2">
        <f>-2419-464-662-75</f>
        <v>-3620</v>
      </c>
      <c r="P21" t="s">
        <v>210</v>
      </c>
    </row>
    <row r="22" spans="1:16" ht="15" thickBot="1" x14ac:dyDescent="0.35">
      <c r="A22" s="40"/>
      <c r="B22" s="45">
        <f>SUM(B17:B21)</f>
        <v>5050</v>
      </c>
      <c r="C22" s="45">
        <f>SUM(C17:C21)</f>
        <v>6413.5</v>
      </c>
      <c r="N22" s="20" t="s">
        <v>48</v>
      </c>
      <c r="O22" s="16">
        <f>O18+O21</f>
        <v>21637.684999999998</v>
      </c>
    </row>
    <row r="23" spans="1:16" ht="15" thickTop="1" x14ac:dyDescent="0.3">
      <c r="A23" s="19" t="s">
        <v>243</v>
      </c>
      <c r="J23" s="41" t="s">
        <v>286</v>
      </c>
      <c r="K23" s="40"/>
      <c r="L23" s="41"/>
      <c r="M23" s="40"/>
      <c r="N23" s="44"/>
      <c r="O23" s="41">
        <v>14313</v>
      </c>
    </row>
    <row r="24" spans="1:16" x14ac:dyDescent="0.3">
      <c r="A24" t="s">
        <v>44</v>
      </c>
      <c r="B24" s="2" t="s">
        <v>45</v>
      </c>
      <c r="C24" s="2" t="s">
        <v>46</v>
      </c>
      <c r="J24" s="41" t="s">
        <v>312</v>
      </c>
      <c r="K24" s="40"/>
      <c r="L24" s="40"/>
      <c r="M24" s="40"/>
      <c r="N24" s="44"/>
      <c r="O24" s="41">
        <v>20473.830000000002</v>
      </c>
      <c r="P24" t="s">
        <v>303</v>
      </c>
    </row>
    <row r="25" spans="1:16" ht="15" thickBot="1" x14ac:dyDescent="0.35">
      <c r="A25" s="40" t="s">
        <v>26</v>
      </c>
      <c r="B25" s="41">
        <v>2000</v>
      </c>
      <c r="C25" s="41">
        <f>B25*1.27</f>
        <v>2540</v>
      </c>
      <c r="I25" s="2">
        <v>23022</v>
      </c>
      <c r="J25" s="2" t="s">
        <v>329</v>
      </c>
      <c r="L25"/>
    </row>
    <row r="26" spans="1:16" x14ac:dyDescent="0.3">
      <c r="A26" s="40" t="s">
        <v>28</v>
      </c>
      <c r="B26" s="41">
        <v>500</v>
      </c>
      <c r="C26" s="41">
        <f t="shared" ref="C26:C28" si="7">B26*1.27</f>
        <v>635</v>
      </c>
      <c r="H26"/>
      <c r="L26" s="21" t="s">
        <v>51</v>
      </c>
      <c r="M26" s="22"/>
      <c r="N26" s="23"/>
      <c r="O26" s="24">
        <f>ROUND((E9+L11)*0.062,2)</f>
        <v>20457.59</v>
      </c>
    </row>
    <row r="27" spans="1:16" ht="15" thickBot="1" x14ac:dyDescent="0.35">
      <c r="A27" s="40" t="s">
        <v>30</v>
      </c>
      <c r="B27" s="41">
        <v>800</v>
      </c>
      <c r="C27" s="41">
        <f t="shared" si="7"/>
        <v>1016</v>
      </c>
      <c r="H27"/>
      <c r="L27" s="26" t="s">
        <v>52</v>
      </c>
      <c r="M27" s="27"/>
      <c r="N27" s="28"/>
      <c r="O27" s="29">
        <f>ROUND((E9+L11)*0.0145,2)</f>
        <v>4784.4399999999996</v>
      </c>
    </row>
    <row r="28" spans="1:16" x14ac:dyDescent="0.3">
      <c r="A28" s="40" t="s">
        <v>242</v>
      </c>
      <c r="B28" s="41">
        <v>400</v>
      </c>
      <c r="C28" s="41">
        <f t="shared" si="7"/>
        <v>508</v>
      </c>
      <c r="L28"/>
    </row>
    <row r="29" spans="1:16" x14ac:dyDescent="0.3">
      <c r="A29" s="40" t="s">
        <v>213</v>
      </c>
      <c r="B29" s="41"/>
      <c r="C29" s="41"/>
      <c r="L29"/>
    </row>
    <row r="30" spans="1:16" x14ac:dyDescent="0.3">
      <c r="A30" s="40"/>
      <c r="B30" s="45">
        <f>SUM(B25:B29)</f>
        <v>3700</v>
      </c>
      <c r="C30" s="45">
        <f>SUM(C25:C29)</f>
        <v>4699</v>
      </c>
      <c r="L30"/>
    </row>
    <row r="31" spans="1:16" x14ac:dyDescent="0.3">
      <c r="A31" s="19" t="s">
        <v>243</v>
      </c>
      <c r="L31"/>
    </row>
    <row r="32" spans="1:16" x14ac:dyDescent="0.3">
      <c r="A32" t="s">
        <v>216</v>
      </c>
      <c r="B32" s="2" t="s">
        <v>45</v>
      </c>
      <c r="C32" s="2" t="s">
        <v>46</v>
      </c>
    </row>
    <row r="33" spans="1:9" x14ac:dyDescent="0.3">
      <c r="A33" s="40" t="s">
        <v>26</v>
      </c>
      <c r="B33" s="41"/>
      <c r="C33" s="41">
        <v>2500</v>
      </c>
    </row>
    <row r="34" spans="1:9" x14ac:dyDescent="0.3">
      <c r="A34" s="40" t="s">
        <v>28</v>
      </c>
      <c r="B34" s="41"/>
      <c r="C34" s="41">
        <v>900</v>
      </c>
    </row>
    <row r="35" spans="1:9" x14ac:dyDescent="0.3">
      <c r="A35" s="40" t="s">
        <v>30</v>
      </c>
      <c r="B35" s="41"/>
      <c r="C35" s="41">
        <v>1300</v>
      </c>
    </row>
    <row r="36" spans="1:9" x14ac:dyDescent="0.3">
      <c r="A36" s="40" t="s">
        <v>242</v>
      </c>
      <c r="B36" s="41"/>
      <c r="C36" s="41">
        <v>800</v>
      </c>
      <c r="I36" s="30"/>
    </row>
    <row r="37" spans="1:9" x14ac:dyDescent="0.3">
      <c r="A37" s="40" t="s">
        <v>213</v>
      </c>
      <c r="B37" s="41"/>
      <c r="C37" s="41"/>
    </row>
    <row r="38" spans="1:9" x14ac:dyDescent="0.3">
      <c r="A38" s="40"/>
      <c r="B38" s="45">
        <f>SUM(B33:B37)</f>
        <v>0</v>
      </c>
      <c r="C38" s="45">
        <f>SUM(C33:C37)</f>
        <v>5500</v>
      </c>
    </row>
    <row r="41" spans="1:9" x14ac:dyDescent="0.3">
      <c r="A41" s="19" t="s">
        <v>71</v>
      </c>
    </row>
    <row r="42" spans="1:9" x14ac:dyDescent="0.3">
      <c r="A42" t="s">
        <v>44</v>
      </c>
      <c r="B42" s="2" t="s">
        <v>45</v>
      </c>
      <c r="C42" s="2" t="s">
        <v>46</v>
      </c>
    </row>
    <row r="43" spans="1:9" x14ac:dyDescent="0.3">
      <c r="A43" s="40" t="s">
        <v>26</v>
      </c>
      <c r="B43" s="41">
        <v>2000</v>
      </c>
      <c r="C43" s="41">
        <f>B43*1.27</f>
        <v>2540</v>
      </c>
    </row>
    <row r="44" spans="1:9" x14ac:dyDescent="0.3">
      <c r="A44" s="40" t="s">
        <v>28</v>
      </c>
      <c r="B44" s="41">
        <v>325</v>
      </c>
      <c r="C44" s="41">
        <f t="shared" ref="C44:C46" si="8">B44*1.27</f>
        <v>412.75</v>
      </c>
    </row>
    <row r="45" spans="1:9" x14ac:dyDescent="0.3">
      <c r="A45" s="40" t="s">
        <v>30</v>
      </c>
      <c r="B45" s="41">
        <v>700</v>
      </c>
      <c r="C45" s="41">
        <f t="shared" si="8"/>
        <v>889</v>
      </c>
    </row>
    <row r="46" spans="1:9" x14ac:dyDescent="0.3">
      <c r="A46" s="40" t="s">
        <v>242</v>
      </c>
      <c r="B46" s="41">
        <v>325</v>
      </c>
      <c r="C46" s="41">
        <f t="shared" si="8"/>
        <v>412.75</v>
      </c>
    </row>
    <row r="47" spans="1:9" x14ac:dyDescent="0.3">
      <c r="A47" s="40" t="s">
        <v>213</v>
      </c>
      <c r="B47" s="41"/>
      <c r="C47" s="41"/>
    </row>
    <row r="48" spans="1:9" x14ac:dyDescent="0.3">
      <c r="A48" s="40"/>
      <c r="B48" s="45">
        <f>SUM(B43:B47)</f>
        <v>3350</v>
      </c>
      <c r="C48" s="45">
        <f>SUM(C43:C47)</f>
        <v>4254.5</v>
      </c>
    </row>
    <row r="49" spans="1:3" x14ac:dyDescent="0.3">
      <c r="A49" s="19" t="s">
        <v>71</v>
      </c>
    </row>
    <row r="50" spans="1:3" x14ac:dyDescent="0.3">
      <c r="A50" t="s">
        <v>216</v>
      </c>
      <c r="B50" s="2" t="s">
        <v>45</v>
      </c>
      <c r="C50" s="2" t="s">
        <v>46</v>
      </c>
    </row>
    <row r="51" spans="1:3" x14ac:dyDescent="0.3">
      <c r="A51" s="40" t="str">
        <f>A3</f>
        <v>Cindi Beaudet</v>
      </c>
      <c r="B51" s="41"/>
      <c r="C51" s="41">
        <v>2500</v>
      </c>
    </row>
    <row r="52" spans="1:3" x14ac:dyDescent="0.3">
      <c r="A52" s="40" t="str">
        <f>A5</f>
        <v>Kyle Means</v>
      </c>
      <c r="B52" s="41"/>
      <c r="C52" s="41">
        <v>700</v>
      </c>
    </row>
    <row r="53" spans="1:3" x14ac:dyDescent="0.3">
      <c r="A53" s="40" t="str">
        <f>A6</f>
        <v>Joseph Sands</v>
      </c>
      <c r="B53" s="41"/>
      <c r="C53" s="41">
        <v>1150</v>
      </c>
    </row>
    <row r="54" spans="1:3" x14ac:dyDescent="0.3">
      <c r="A54" s="40" t="str">
        <f>A7</f>
        <v>Jonathan Fernandez</v>
      </c>
      <c r="B54" s="41"/>
      <c r="C54" s="41">
        <v>750</v>
      </c>
    </row>
    <row r="55" spans="1:3" x14ac:dyDescent="0.3">
      <c r="A55" s="40" t="str">
        <f>A8</f>
        <v xml:space="preserve">Admin </v>
      </c>
      <c r="B55" s="41"/>
      <c r="C55" s="41"/>
    </row>
    <row r="56" spans="1:3" x14ac:dyDescent="0.3">
      <c r="A56" s="40"/>
      <c r="B56" s="45">
        <f>SUM(B51:B55)</f>
        <v>0</v>
      </c>
      <c r="C56" s="45">
        <f>SUM(C51:C55)</f>
        <v>5100</v>
      </c>
    </row>
    <row r="58" spans="1:3" x14ac:dyDescent="0.3">
      <c r="A58" s="19" t="s">
        <v>42</v>
      </c>
    </row>
    <row r="59" spans="1:3" x14ac:dyDescent="0.3">
      <c r="A59" t="s">
        <v>44</v>
      </c>
      <c r="B59" s="2" t="s">
        <v>45</v>
      </c>
      <c r="C59" s="2" t="s">
        <v>46</v>
      </c>
    </row>
    <row r="60" spans="1:3" x14ac:dyDescent="0.3">
      <c r="A60" t="str">
        <f>A3</f>
        <v>Cindi Beaudet</v>
      </c>
      <c r="B60" s="2">
        <v>2000</v>
      </c>
      <c r="C60" s="2">
        <f>B60*1.27</f>
        <v>2540</v>
      </c>
    </row>
    <row r="61" spans="1:3" x14ac:dyDescent="0.3">
      <c r="A61" t="str">
        <f>A5</f>
        <v>Kyle Means</v>
      </c>
      <c r="B61" s="2">
        <v>275</v>
      </c>
      <c r="C61" s="2">
        <f t="shared" ref="C61:C64" si="9">B61*1.27</f>
        <v>349.25</v>
      </c>
    </row>
    <row r="62" spans="1:3" x14ac:dyDescent="0.3">
      <c r="A62" t="str">
        <f>A6</f>
        <v>Joseph Sands</v>
      </c>
      <c r="B62" s="2">
        <v>700</v>
      </c>
      <c r="C62" s="2">
        <f t="shared" si="9"/>
        <v>889</v>
      </c>
    </row>
    <row r="63" spans="1:3" x14ac:dyDescent="0.3">
      <c r="A63" t="str">
        <f>A7</f>
        <v>Jonathan Fernandez</v>
      </c>
      <c r="B63" s="2">
        <v>275</v>
      </c>
      <c r="C63" s="2">
        <f t="shared" si="9"/>
        <v>349.25</v>
      </c>
    </row>
    <row r="64" spans="1:3" x14ac:dyDescent="0.3">
      <c r="A64" t="str">
        <f>A8</f>
        <v xml:space="preserve">Admin </v>
      </c>
      <c r="B64" s="2">
        <v>300</v>
      </c>
      <c r="C64" s="2">
        <f t="shared" si="9"/>
        <v>381</v>
      </c>
    </row>
    <row r="65" spans="1:3" x14ac:dyDescent="0.3">
      <c r="B65" s="25">
        <f>SUM(B60:B64)</f>
        <v>3550</v>
      </c>
      <c r="C65" s="25">
        <f>SUM(C60:C64)</f>
        <v>4508.5</v>
      </c>
    </row>
    <row r="67" spans="1:3" x14ac:dyDescent="0.3">
      <c r="A67" s="19" t="s">
        <v>53</v>
      </c>
    </row>
    <row r="68" spans="1:3" x14ac:dyDescent="0.3">
      <c r="A68" t="s">
        <v>44</v>
      </c>
      <c r="B68" s="2" t="s">
        <v>45</v>
      </c>
      <c r="C68" s="2" t="s">
        <v>46</v>
      </c>
    </row>
    <row r="69" spans="1:3" x14ac:dyDescent="0.3">
      <c r="A69" t="str">
        <f>A3</f>
        <v>Cindi Beaudet</v>
      </c>
      <c r="B69" s="2">
        <v>2000</v>
      </c>
      <c r="C69" s="2">
        <f>B69*1.27</f>
        <v>2540</v>
      </c>
    </row>
    <row r="70" spans="1:3" x14ac:dyDescent="0.3">
      <c r="A70" t="str">
        <f>A5</f>
        <v>Kyle Means</v>
      </c>
      <c r="B70" s="2">
        <v>200</v>
      </c>
      <c r="C70" s="2">
        <f t="shared" ref="C70:C73" si="10">B70*1.27</f>
        <v>254</v>
      </c>
    </row>
    <row r="71" spans="1:3" x14ac:dyDescent="0.3">
      <c r="A71" t="str">
        <f>A6</f>
        <v>Joseph Sands</v>
      </c>
      <c r="B71" s="2">
        <v>700</v>
      </c>
      <c r="C71" s="2">
        <f t="shared" si="10"/>
        <v>889</v>
      </c>
    </row>
    <row r="72" spans="1:3" x14ac:dyDescent="0.3">
      <c r="A72" t="str">
        <f>A7</f>
        <v>Jonathan Fernandez</v>
      </c>
      <c r="B72" s="2">
        <v>200</v>
      </c>
      <c r="C72" s="2">
        <f t="shared" si="10"/>
        <v>254</v>
      </c>
    </row>
    <row r="73" spans="1:3" x14ac:dyDescent="0.3">
      <c r="A73" t="str">
        <f>A8</f>
        <v xml:space="preserve">Admin </v>
      </c>
      <c r="B73" s="2">
        <v>200</v>
      </c>
      <c r="C73" s="2">
        <f t="shared" si="10"/>
        <v>254</v>
      </c>
    </row>
    <row r="74" spans="1:3" x14ac:dyDescent="0.3">
      <c r="B74" s="25">
        <f>SUM(B69:B73)</f>
        <v>3300</v>
      </c>
      <c r="C74" s="25">
        <f>SUM(C69:C73)</f>
        <v>4191</v>
      </c>
    </row>
    <row r="77" spans="1:3" x14ac:dyDescent="0.3">
      <c r="A77" t="s">
        <v>54</v>
      </c>
    </row>
    <row r="79" spans="1:3" x14ac:dyDescent="0.3">
      <c r="A79" s="40" t="s">
        <v>55</v>
      </c>
      <c r="B79" s="41">
        <v>150</v>
      </c>
    </row>
    <row r="80" spans="1:3" x14ac:dyDescent="0.3">
      <c r="A80" s="40" t="s">
        <v>56</v>
      </c>
      <c r="B80" s="41">
        <f>B79*4</f>
        <v>600</v>
      </c>
    </row>
    <row r="81" spans="1:2" x14ac:dyDescent="0.3">
      <c r="A81" s="40" t="s">
        <v>57</v>
      </c>
      <c r="B81" s="41">
        <f>B80*5</f>
        <v>3000</v>
      </c>
    </row>
    <row r="82" spans="1:2" x14ac:dyDescent="0.3">
      <c r="A82" s="40"/>
      <c r="B82" s="41"/>
    </row>
    <row r="83" spans="1:2" x14ac:dyDescent="0.3">
      <c r="A83" s="40" t="s">
        <v>58</v>
      </c>
      <c r="B83" s="41">
        <f>B81*12</f>
        <v>36000</v>
      </c>
    </row>
    <row r="84" spans="1:2" x14ac:dyDescent="0.3">
      <c r="A84" s="40"/>
      <c r="B84" s="41"/>
    </row>
    <row r="85" spans="1:2" x14ac:dyDescent="0.3">
      <c r="A85" s="40" t="s">
        <v>59</v>
      </c>
      <c r="B85" s="41">
        <f>B79*5*12</f>
        <v>9000</v>
      </c>
    </row>
    <row r="86" spans="1:2" x14ac:dyDescent="0.3">
      <c r="A86" s="40" t="s">
        <v>60</v>
      </c>
      <c r="B86" s="41">
        <f>B79*5*5</f>
        <v>3750</v>
      </c>
    </row>
    <row r="87" spans="1:2" x14ac:dyDescent="0.3">
      <c r="A87" s="40" t="s">
        <v>61</v>
      </c>
      <c r="B87" s="41">
        <f>B79*5*3</f>
        <v>2250</v>
      </c>
    </row>
    <row r="88" spans="1:2" ht="15" thickBot="1" x14ac:dyDescent="0.35">
      <c r="A88" s="40"/>
      <c r="B88" s="46">
        <f>SUM(B85:B87)</f>
        <v>15000</v>
      </c>
    </row>
    <row r="89" spans="1:2" ht="15" thickTop="1" x14ac:dyDescent="0.3"/>
  </sheetData>
  <pageMargins left="0.7" right="0.7" top="0.75" bottom="0.75" header="0.3" footer="0.3"/>
  <pageSetup scale="61" orientation="landscape" horizontalDpi="0" verticalDpi="0"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E407C-AFB6-4CD3-9FA0-62A1DA93CC1A}">
  <sheetPr>
    <pageSetUpPr fitToPage="1"/>
  </sheetPr>
  <dimension ref="A1:P81"/>
  <sheetViews>
    <sheetView workbookViewId="0">
      <selection activeCell="F26" sqref="F26"/>
    </sheetView>
  </sheetViews>
  <sheetFormatPr defaultRowHeight="14.4" x14ac:dyDescent="0.3"/>
  <cols>
    <col min="1" max="1" width="33.6640625" bestFit="1" customWidth="1"/>
    <col min="2" max="2" width="11.109375" style="2" bestFit="1" customWidth="1"/>
    <col min="3" max="3" width="9.5546875" style="2" bestFit="1" customWidth="1"/>
    <col min="4" max="4" width="11.5546875" style="2" bestFit="1" customWidth="1"/>
    <col min="5" max="5" width="11.5546875" bestFit="1" customWidth="1"/>
    <col min="6" max="6" width="8.88671875" style="5"/>
    <col min="7" max="7" width="14.88671875" customWidth="1"/>
    <col min="8" max="8" width="10.44140625" style="2" customWidth="1"/>
    <col min="9" max="10" width="11.5546875" style="2" bestFit="1" customWidth="1"/>
    <col min="11" max="11" width="10.5546875" bestFit="1" customWidth="1"/>
    <col min="12" max="12" width="13.44140625" style="2" customWidth="1"/>
    <col min="14" max="14" width="8.88671875" style="13"/>
    <col min="15" max="15" width="12.6640625" style="2" customWidth="1"/>
  </cols>
  <sheetData>
    <row r="1" spans="1:15" x14ac:dyDescent="0.3">
      <c r="A1" t="s">
        <v>12</v>
      </c>
      <c r="D1" s="3" t="s">
        <v>13</v>
      </c>
      <c r="E1" s="4"/>
      <c r="G1" s="40" t="s">
        <v>70</v>
      </c>
      <c r="H1" s="2" t="s">
        <v>217</v>
      </c>
      <c r="N1" s="6" t="s">
        <v>14</v>
      </c>
      <c r="O1" s="6"/>
    </row>
    <row r="2" spans="1:15" ht="43.2" x14ac:dyDescent="0.3">
      <c r="B2" s="7" t="s">
        <v>15</v>
      </c>
      <c r="C2" s="7" t="s">
        <v>16</v>
      </c>
      <c r="D2" s="7" t="s">
        <v>17</v>
      </c>
      <c r="E2" s="7" t="s">
        <v>18</v>
      </c>
      <c r="F2" s="8" t="s">
        <v>19</v>
      </c>
      <c r="H2" s="9" t="s">
        <v>20</v>
      </c>
      <c r="I2" s="9" t="s">
        <v>21</v>
      </c>
      <c r="J2" s="9" t="s">
        <v>22</v>
      </c>
      <c r="L2" s="9" t="s">
        <v>23</v>
      </c>
      <c r="N2" s="10" t="s">
        <v>24</v>
      </c>
      <c r="O2" s="2" t="s">
        <v>25</v>
      </c>
    </row>
    <row r="3" spans="1:15" x14ac:dyDescent="0.3">
      <c r="A3" s="40" t="s">
        <v>26</v>
      </c>
      <c r="B3" s="41">
        <v>40</v>
      </c>
      <c r="C3" s="41">
        <v>52.01</v>
      </c>
      <c r="D3" s="2">
        <f>ROUND(C3*F3+C3,2)</f>
        <v>55.13</v>
      </c>
      <c r="E3" s="2">
        <f>D3*2080</f>
        <v>114670.40000000001</v>
      </c>
      <c r="F3" s="11">
        <v>0.06</v>
      </c>
      <c r="G3" s="43" t="s">
        <v>27</v>
      </c>
      <c r="H3" s="41">
        <f>824.03</f>
        <v>824.03</v>
      </c>
      <c r="I3" s="41">
        <v>53.24</v>
      </c>
      <c r="J3" s="41">
        <v>14.84</v>
      </c>
      <c r="K3" s="40"/>
      <c r="L3" s="41">
        <f>ROUND(0.11*E3,2)</f>
        <v>12613.74</v>
      </c>
      <c r="N3" s="6">
        <v>8.7599999999999997E-2</v>
      </c>
      <c r="O3" s="2">
        <f>ROUND(E3*N3,2)</f>
        <v>10045.129999999999</v>
      </c>
    </row>
    <row r="4" spans="1:15" x14ac:dyDescent="0.3">
      <c r="A4" s="40" t="s">
        <v>211</v>
      </c>
      <c r="B4" s="41"/>
      <c r="C4" s="41"/>
      <c r="E4" s="2">
        <f>240*D3</f>
        <v>13231.2</v>
      </c>
      <c r="F4" s="11"/>
      <c r="G4" s="43"/>
      <c r="H4" s="41"/>
      <c r="I4" s="41"/>
      <c r="J4" s="41"/>
      <c r="K4" s="40"/>
      <c r="L4" s="41">
        <f>ROUND(0.11*E4,2)</f>
        <v>1455.43</v>
      </c>
      <c r="N4" s="6">
        <v>8.7599999999999997E-2</v>
      </c>
      <c r="O4" s="2">
        <f>ROUND(E4*N4,2)</f>
        <v>1159.05</v>
      </c>
    </row>
    <row r="5" spans="1:15" x14ac:dyDescent="0.3">
      <c r="A5" s="40" t="s">
        <v>28</v>
      </c>
      <c r="B5" s="41">
        <v>40</v>
      </c>
      <c r="C5" s="41">
        <v>15.1</v>
      </c>
      <c r="D5" s="3">
        <v>16.100000000000001</v>
      </c>
      <c r="E5" s="2">
        <f>ROUND(B5*D5,2)*52</f>
        <v>33488</v>
      </c>
      <c r="F5" s="13">
        <f>ROUND((D5-C5)/C5,4)</f>
        <v>6.6199999999999995E-2</v>
      </c>
      <c r="G5" s="43" t="s">
        <v>29</v>
      </c>
      <c r="H5" s="41">
        <f>667.12</f>
        <v>667.12</v>
      </c>
      <c r="I5" s="41">
        <v>53.24</v>
      </c>
      <c r="J5" s="41">
        <v>14.84</v>
      </c>
      <c r="K5" s="40"/>
      <c r="L5" s="41">
        <f>ROUND(E5*0.05,2)</f>
        <v>1674.4</v>
      </c>
      <c r="N5" s="6">
        <v>8.7599999999999997E-2</v>
      </c>
      <c r="O5" s="2">
        <f t="shared" ref="O5:O8" si="0">ROUND(E5*N5,2)</f>
        <v>2933.55</v>
      </c>
    </row>
    <row r="6" spans="1:15" x14ac:dyDescent="0.3">
      <c r="A6" s="40" t="s">
        <v>30</v>
      </c>
      <c r="B6" s="41">
        <v>40</v>
      </c>
      <c r="C6" s="41">
        <v>24.8</v>
      </c>
      <c r="D6" s="3">
        <v>26.3</v>
      </c>
      <c r="E6" s="2">
        <f>ROUND(B6*D6,2)*52</f>
        <v>54704</v>
      </c>
      <c r="F6" s="13">
        <f t="shared" ref="F6:F7" si="1">ROUND((D6-C6)/C6,4)</f>
        <v>6.0499999999999998E-2</v>
      </c>
      <c r="G6" s="43" t="s">
        <v>29</v>
      </c>
      <c r="H6" s="41">
        <v>1734.49</v>
      </c>
      <c r="I6" s="41">
        <v>101.92</v>
      </c>
      <c r="J6" s="41">
        <v>20.83</v>
      </c>
      <c r="K6" s="40"/>
      <c r="L6" s="41">
        <f>ROUND(E6*0.05,2)</f>
        <v>2735.2</v>
      </c>
      <c r="N6" s="6">
        <v>8.7599999999999997E-2</v>
      </c>
      <c r="O6" s="2">
        <f t="shared" si="0"/>
        <v>4792.07</v>
      </c>
    </row>
    <row r="7" spans="1:15" x14ac:dyDescent="0.3">
      <c r="A7" s="40" t="s">
        <v>242</v>
      </c>
      <c r="B7" s="41">
        <v>40</v>
      </c>
      <c r="C7" s="41">
        <v>15</v>
      </c>
      <c r="D7" s="3">
        <v>15.45</v>
      </c>
      <c r="E7" s="2">
        <f t="shared" ref="E7:E8" si="2">ROUND(B7*D7,2)*52</f>
        <v>32136</v>
      </c>
      <c r="F7" s="13">
        <f t="shared" si="1"/>
        <v>0.03</v>
      </c>
      <c r="G7" s="43" t="s">
        <v>29</v>
      </c>
      <c r="H7" s="41">
        <v>667.12</v>
      </c>
      <c r="I7" s="41">
        <v>52.01</v>
      </c>
      <c r="J7" s="41">
        <v>14.84</v>
      </c>
      <c r="K7" s="40"/>
      <c r="L7" s="41">
        <f>ROUND(E7*0.05,2)</f>
        <v>1606.8</v>
      </c>
      <c r="N7" s="6">
        <v>8.7599999999999997E-2</v>
      </c>
      <c r="O7" s="2">
        <f t="shared" si="0"/>
        <v>2815.11</v>
      </c>
    </row>
    <row r="8" spans="1:15" x14ac:dyDescent="0.3">
      <c r="A8" s="40" t="s">
        <v>213</v>
      </c>
      <c r="B8" s="41">
        <v>40</v>
      </c>
      <c r="C8" s="42"/>
      <c r="D8" s="15">
        <v>15.3</v>
      </c>
      <c r="E8" s="2">
        <f t="shared" si="2"/>
        <v>31824</v>
      </c>
      <c r="F8" s="13"/>
      <c r="G8" s="43"/>
      <c r="H8" s="41">
        <v>667.12</v>
      </c>
      <c r="I8" s="41">
        <v>52.01</v>
      </c>
      <c r="J8" s="41">
        <v>14.84</v>
      </c>
      <c r="K8" s="40"/>
      <c r="L8" s="41"/>
      <c r="N8" s="6">
        <v>5.4999999999999997E-3</v>
      </c>
      <c r="O8" s="2">
        <f t="shared" si="0"/>
        <v>175.03</v>
      </c>
    </row>
    <row r="9" spans="1:15" ht="15" thickBot="1" x14ac:dyDescent="0.35">
      <c r="E9" s="16">
        <f>SUM(E3:E8)</f>
        <v>280053.59999999998</v>
      </c>
      <c r="G9" t="s">
        <v>33</v>
      </c>
      <c r="H9" s="17">
        <f>SUM(H3:H8)</f>
        <v>4559.88</v>
      </c>
      <c r="I9" s="17">
        <f t="shared" ref="I9:J9" si="3">SUM(I3:I8)</f>
        <v>312.42</v>
      </c>
      <c r="J9" s="17">
        <f t="shared" si="3"/>
        <v>80.19</v>
      </c>
      <c r="L9" s="16">
        <f>SUM(L3:L8)</f>
        <v>20085.57</v>
      </c>
      <c r="N9" s="6"/>
      <c r="O9" s="16">
        <f>SUM(O3:O8)</f>
        <v>21919.94</v>
      </c>
    </row>
    <row r="10" spans="1:15" ht="15.6" thickTop="1" thickBot="1" x14ac:dyDescent="0.35">
      <c r="E10" s="2"/>
      <c r="G10" t="s">
        <v>18</v>
      </c>
      <c r="H10" s="17">
        <f>ROUND(H9*12,0)</f>
        <v>54719</v>
      </c>
      <c r="I10" s="17">
        <f t="shared" ref="I10:J10" si="4">ROUND(I9*12,0)</f>
        <v>3749</v>
      </c>
      <c r="J10" s="17">
        <f t="shared" si="4"/>
        <v>962</v>
      </c>
      <c r="K10" s="18">
        <f>SUM(H10:J10)</f>
        <v>59430</v>
      </c>
      <c r="N10" s="6"/>
    </row>
    <row r="11" spans="1:15" ht="15" thickTop="1" x14ac:dyDescent="0.3">
      <c r="E11" s="2"/>
      <c r="G11" t="s">
        <v>218</v>
      </c>
      <c r="H11" s="2">
        <f>ROUND(H10*0.027,2)</f>
        <v>1477.41</v>
      </c>
      <c r="K11" t="s">
        <v>34</v>
      </c>
      <c r="L11" s="2">
        <f>15*5*150</f>
        <v>11250</v>
      </c>
      <c r="N11" s="6">
        <v>6.3E-3</v>
      </c>
      <c r="O11" s="2">
        <f>L11*N11</f>
        <v>70.875</v>
      </c>
    </row>
    <row r="12" spans="1:15" x14ac:dyDescent="0.3">
      <c r="A12" t="s">
        <v>35</v>
      </c>
      <c r="E12" s="2"/>
      <c r="G12" t="s">
        <v>219</v>
      </c>
      <c r="H12" s="7">
        <f>SUM(H10:H11)</f>
        <v>56196.41</v>
      </c>
      <c r="N12" s="6"/>
    </row>
    <row r="13" spans="1:15" x14ac:dyDescent="0.3">
      <c r="A13" t="s">
        <v>37</v>
      </c>
      <c r="N13" s="6"/>
    </row>
    <row r="14" spans="1:15" x14ac:dyDescent="0.3">
      <c r="F14" s="5" t="s">
        <v>39</v>
      </c>
      <c r="N14" s="6"/>
    </row>
    <row r="15" spans="1:15" x14ac:dyDescent="0.3">
      <c r="A15" s="19" t="s">
        <v>243</v>
      </c>
      <c r="N15" s="6"/>
    </row>
    <row r="16" spans="1:15" x14ac:dyDescent="0.3">
      <c r="A16" t="s">
        <v>44</v>
      </c>
      <c r="B16" s="2" t="s">
        <v>45</v>
      </c>
      <c r="C16" s="2" t="s">
        <v>46</v>
      </c>
      <c r="N16" s="6"/>
    </row>
    <row r="17" spans="1:16" x14ac:dyDescent="0.3">
      <c r="A17" s="40" t="str">
        <f>A3</f>
        <v>Cindi Beaudet</v>
      </c>
      <c r="B17" s="41">
        <v>2000</v>
      </c>
      <c r="C17" s="41">
        <f>B17*1.27</f>
        <v>2540</v>
      </c>
      <c r="H17" s="2" t="s">
        <v>36</v>
      </c>
      <c r="J17" s="2">
        <f>SUM(E9)</f>
        <v>280053.59999999998</v>
      </c>
    </row>
    <row r="18" spans="1:16" ht="15" thickBot="1" x14ac:dyDescent="0.35">
      <c r="A18" s="40" t="str">
        <f>A5</f>
        <v>Kyle Means</v>
      </c>
      <c r="B18" s="41">
        <v>500</v>
      </c>
      <c r="C18" s="41">
        <f t="shared" ref="C18" si="5">B18*1.27</f>
        <v>635</v>
      </c>
      <c r="H18" s="2" t="s">
        <v>38</v>
      </c>
      <c r="O18" s="16">
        <f>SUM(O9:O11)</f>
        <v>21990.814999999999</v>
      </c>
    </row>
    <row r="19" spans="1:16" ht="15.6" thickTop="1" thickBot="1" x14ac:dyDescent="0.35">
      <c r="A19" s="40" t="str">
        <f t="shared" ref="A19:A21" si="6">A6</f>
        <v>Joseph Sands</v>
      </c>
      <c r="B19" s="41">
        <v>800</v>
      </c>
      <c r="C19" s="41">
        <f t="shared" ref="C19:C20" si="7">B19*1.27</f>
        <v>1016</v>
      </c>
      <c r="G19" t="s">
        <v>244</v>
      </c>
      <c r="H19" s="2" t="s">
        <v>40</v>
      </c>
      <c r="J19" s="16">
        <f>SUM(J17:J18)</f>
        <v>280053.59999999998</v>
      </c>
      <c r="N19" s="13" t="s">
        <v>41</v>
      </c>
    </row>
    <row r="20" spans="1:16" ht="15" thickTop="1" x14ac:dyDescent="0.3">
      <c r="A20" s="40" t="str">
        <f t="shared" si="6"/>
        <v>Avel Walker</v>
      </c>
      <c r="B20" s="41">
        <v>400</v>
      </c>
      <c r="C20" s="41">
        <f t="shared" si="7"/>
        <v>508</v>
      </c>
      <c r="N20" s="13" t="s">
        <v>43</v>
      </c>
    </row>
    <row r="21" spans="1:16" x14ac:dyDescent="0.3">
      <c r="A21" s="40" t="str">
        <f t="shared" si="6"/>
        <v>Admin - Use Temp Service</v>
      </c>
      <c r="B21" s="41"/>
      <c r="C21" s="41"/>
      <c r="N21" s="13" t="s">
        <v>47</v>
      </c>
      <c r="O21" s="2">
        <f>-2419-464-662-75</f>
        <v>-3620</v>
      </c>
      <c r="P21" t="s">
        <v>210</v>
      </c>
    </row>
    <row r="22" spans="1:16" ht="15" thickBot="1" x14ac:dyDescent="0.35">
      <c r="A22" s="40"/>
      <c r="B22" s="45">
        <f>SUM(B17:B21)</f>
        <v>3700</v>
      </c>
      <c r="C22" s="45">
        <f>SUM(C17:C21)</f>
        <v>4699</v>
      </c>
      <c r="N22" s="20" t="s">
        <v>48</v>
      </c>
      <c r="O22" s="16">
        <f>O18+O21</f>
        <v>18370.814999999999</v>
      </c>
    </row>
    <row r="23" spans="1:16" ht="15" thickTop="1" x14ac:dyDescent="0.3">
      <c r="A23" s="19" t="s">
        <v>243</v>
      </c>
      <c r="J23" s="41" t="s">
        <v>72</v>
      </c>
      <c r="K23" s="40"/>
      <c r="L23" s="41"/>
      <c r="M23" s="40"/>
      <c r="N23" s="44"/>
      <c r="O23" s="41">
        <v>19853.11</v>
      </c>
    </row>
    <row r="24" spans="1:16" x14ac:dyDescent="0.3">
      <c r="A24" t="s">
        <v>216</v>
      </c>
      <c r="B24" s="2" t="s">
        <v>45</v>
      </c>
      <c r="C24" s="2" t="s">
        <v>46</v>
      </c>
      <c r="J24" s="41" t="s">
        <v>73</v>
      </c>
      <c r="K24" s="40"/>
      <c r="L24" s="40"/>
      <c r="M24" s="40"/>
      <c r="N24" s="44"/>
      <c r="O24" s="41">
        <v>14362.9</v>
      </c>
      <c r="P24" t="s">
        <v>210</v>
      </c>
    </row>
    <row r="25" spans="1:16" ht="15" thickBot="1" x14ac:dyDescent="0.35">
      <c r="A25" s="40" t="str">
        <f>A17</f>
        <v>Cindi Beaudet</v>
      </c>
      <c r="B25" s="41"/>
      <c r="C25" s="41">
        <v>2500</v>
      </c>
      <c r="L25"/>
    </row>
    <row r="26" spans="1:16" x14ac:dyDescent="0.3">
      <c r="A26" s="40" t="str">
        <f t="shared" ref="A26:A29" si="8">A18</f>
        <v>Kyle Means</v>
      </c>
      <c r="B26" s="41"/>
      <c r="C26" s="41">
        <v>900</v>
      </c>
      <c r="H26"/>
      <c r="L26" s="21" t="s">
        <v>51</v>
      </c>
      <c r="M26" s="22"/>
      <c r="N26" s="23"/>
      <c r="O26" s="24">
        <f>ROUND((E9+L11)*0.062,2)</f>
        <v>18060.82</v>
      </c>
    </row>
    <row r="27" spans="1:16" ht="15" thickBot="1" x14ac:dyDescent="0.35">
      <c r="A27" s="40" t="str">
        <f t="shared" si="8"/>
        <v>Joseph Sands</v>
      </c>
      <c r="B27" s="41"/>
      <c r="C27" s="41">
        <v>1300</v>
      </c>
      <c r="H27"/>
      <c r="L27" s="26" t="s">
        <v>52</v>
      </c>
      <c r="M27" s="27"/>
      <c r="N27" s="28"/>
      <c r="O27" s="29">
        <f>ROUND((E9+L11)*0.0145,2)</f>
        <v>4223.8999999999996</v>
      </c>
    </row>
    <row r="28" spans="1:16" x14ac:dyDescent="0.3">
      <c r="A28" s="40" t="str">
        <f t="shared" si="8"/>
        <v>Avel Walker</v>
      </c>
      <c r="B28" s="41"/>
      <c r="C28" s="41">
        <v>800</v>
      </c>
      <c r="L28"/>
    </row>
    <row r="29" spans="1:16" x14ac:dyDescent="0.3">
      <c r="A29" s="40" t="str">
        <f t="shared" si="8"/>
        <v>Admin - Use Temp Service</v>
      </c>
      <c r="B29" s="41"/>
      <c r="C29" s="41"/>
      <c r="L29"/>
    </row>
    <row r="30" spans="1:16" x14ac:dyDescent="0.3">
      <c r="A30" s="40"/>
      <c r="B30" s="45">
        <f>SUM(B25:B29)</f>
        <v>0</v>
      </c>
      <c r="C30" s="45">
        <f>SUM(C25:C29)</f>
        <v>5500</v>
      </c>
      <c r="L30"/>
    </row>
    <row r="31" spans="1:16" x14ac:dyDescent="0.3">
      <c r="L31"/>
    </row>
    <row r="33" spans="1:9" x14ac:dyDescent="0.3">
      <c r="A33" s="19" t="s">
        <v>71</v>
      </c>
    </row>
    <row r="34" spans="1:9" x14ac:dyDescent="0.3">
      <c r="A34" t="s">
        <v>44</v>
      </c>
      <c r="B34" s="2" t="s">
        <v>45</v>
      </c>
      <c r="C34" s="2" t="s">
        <v>46</v>
      </c>
    </row>
    <row r="35" spans="1:9" x14ac:dyDescent="0.3">
      <c r="A35" s="40" t="str">
        <f>A43</f>
        <v>Cindi Beaudet</v>
      </c>
      <c r="B35" s="41">
        <v>2000</v>
      </c>
      <c r="C35" s="41">
        <f>B35*1.27</f>
        <v>2540</v>
      </c>
    </row>
    <row r="36" spans="1:9" x14ac:dyDescent="0.3">
      <c r="A36" s="40" t="str">
        <f t="shared" ref="A36:A39" si="9">A44</f>
        <v>Kyle Means</v>
      </c>
      <c r="B36" s="41">
        <v>325</v>
      </c>
      <c r="C36" s="41">
        <f t="shared" ref="C36:C38" si="10">B36*1.27</f>
        <v>412.75</v>
      </c>
      <c r="I36" s="30"/>
    </row>
    <row r="37" spans="1:9" x14ac:dyDescent="0.3">
      <c r="A37" s="40" t="str">
        <f t="shared" si="9"/>
        <v>Joseph Sands</v>
      </c>
      <c r="B37" s="41">
        <v>700</v>
      </c>
      <c r="C37" s="41">
        <f t="shared" si="10"/>
        <v>889</v>
      </c>
    </row>
    <row r="38" spans="1:9" x14ac:dyDescent="0.3">
      <c r="A38" s="40" t="str">
        <f t="shared" si="9"/>
        <v>Avel Walker</v>
      </c>
      <c r="B38" s="41">
        <v>325</v>
      </c>
      <c r="C38" s="41">
        <f t="shared" si="10"/>
        <v>412.75</v>
      </c>
    </row>
    <row r="39" spans="1:9" x14ac:dyDescent="0.3">
      <c r="A39" s="40" t="str">
        <f t="shared" si="9"/>
        <v>Admin - Use Temp Service</v>
      </c>
      <c r="B39" s="41"/>
      <c r="C39" s="41"/>
    </row>
    <row r="40" spans="1:9" x14ac:dyDescent="0.3">
      <c r="A40" s="40"/>
      <c r="B40" s="45">
        <f>SUM(B35:B39)</f>
        <v>3350</v>
      </c>
      <c r="C40" s="45">
        <f>SUM(C35:C39)</f>
        <v>4254.5</v>
      </c>
    </row>
    <row r="41" spans="1:9" x14ac:dyDescent="0.3">
      <c r="A41" s="19" t="s">
        <v>71</v>
      </c>
    </row>
    <row r="42" spans="1:9" x14ac:dyDescent="0.3">
      <c r="A42" t="s">
        <v>216</v>
      </c>
      <c r="B42" s="2" t="s">
        <v>45</v>
      </c>
      <c r="C42" s="2" t="s">
        <v>46</v>
      </c>
    </row>
    <row r="43" spans="1:9" x14ac:dyDescent="0.3">
      <c r="A43" s="40" t="str">
        <f>A3</f>
        <v>Cindi Beaudet</v>
      </c>
      <c r="B43" s="41"/>
      <c r="C43" s="41">
        <v>2500</v>
      </c>
    </row>
    <row r="44" spans="1:9" x14ac:dyDescent="0.3">
      <c r="A44" s="40" t="str">
        <f>A5</f>
        <v>Kyle Means</v>
      </c>
      <c r="B44" s="41"/>
      <c r="C44" s="41">
        <v>700</v>
      </c>
    </row>
    <row r="45" spans="1:9" x14ac:dyDescent="0.3">
      <c r="A45" s="40" t="str">
        <f>A6</f>
        <v>Joseph Sands</v>
      </c>
      <c r="B45" s="41"/>
      <c r="C45" s="41">
        <v>1150</v>
      </c>
    </row>
    <row r="46" spans="1:9" x14ac:dyDescent="0.3">
      <c r="A46" s="40" t="str">
        <f>A7</f>
        <v>Avel Walker</v>
      </c>
      <c r="B46" s="41"/>
      <c r="C46" s="41">
        <v>750</v>
      </c>
    </row>
    <row r="47" spans="1:9" x14ac:dyDescent="0.3">
      <c r="A47" s="40" t="str">
        <f>A8</f>
        <v>Admin - Use Temp Service</v>
      </c>
      <c r="B47" s="41"/>
      <c r="C47" s="41"/>
    </row>
    <row r="48" spans="1:9" x14ac:dyDescent="0.3">
      <c r="A48" s="40"/>
      <c r="B48" s="45">
        <f>SUM(B43:B47)</f>
        <v>0</v>
      </c>
      <c r="C48" s="45">
        <f>SUM(C43:C47)</f>
        <v>5100</v>
      </c>
    </row>
    <row r="50" spans="1:3" x14ac:dyDescent="0.3">
      <c r="A50" s="19" t="s">
        <v>42</v>
      </c>
    </row>
    <row r="51" spans="1:3" x14ac:dyDescent="0.3">
      <c r="A51" t="s">
        <v>44</v>
      </c>
      <c r="B51" s="2" t="s">
        <v>45</v>
      </c>
      <c r="C51" s="2" t="s">
        <v>46</v>
      </c>
    </row>
    <row r="52" spans="1:3" x14ac:dyDescent="0.3">
      <c r="A52" t="str">
        <f>A3</f>
        <v>Cindi Beaudet</v>
      </c>
      <c r="B52" s="2">
        <v>2000</v>
      </c>
      <c r="C52" s="2">
        <f>B52*1.27</f>
        <v>2540</v>
      </c>
    </row>
    <row r="53" spans="1:3" x14ac:dyDescent="0.3">
      <c r="A53" t="str">
        <f>A5</f>
        <v>Kyle Means</v>
      </c>
      <c r="B53" s="2">
        <v>275</v>
      </c>
      <c r="C53" s="2">
        <f t="shared" ref="C53:C56" si="11">B53*1.27</f>
        <v>349.25</v>
      </c>
    </row>
    <row r="54" spans="1:3" x14ac:dyDescent="0.3">
      <c r="A54" t="str">
        <f>A6</f>
        <v>Joseph Sands</v>
      </c>
      <c r="B54" s="2">
        <v>700</v>
      </c>
      <c r="C54" s="2">
        <f t="shared" si="11"/>
        <v>889</v>
      </c>
    </row>
    <row r="55" spans="1:3" x14ac:dyDescent="0.3">
      <c r="A55" t="str">
        <f>A7</f>
        <v>Avel Walker</v>
      </c>
      <c r="B55" s="2">
        <v>275</v>
      </c>
      <c r="C55" s="2">
        <f t="shared" si="11"/>
        <v>349.25</v>
      </c>
    </row>
    <row r="56" spans="1:3" x14ac:dyDescent="0.3">
      <c r="A56" t="str">
        <f>A8</f>
        <v>Admin - Use Temp Service</v>
      </c>
      <c r="B56" s="2">
        <v>300</v>
      </c>
      <c r="C56" s="2">
        <f t="shared" si="11"/>
        <v>381</v>
      </c>
    </row>
    <row r="57" spans="1:3" x14ac:dyDescent="0.3">
      <c r="B57" s="25">
        <f>SUM(B52:B56)</f>
        <v>3550</v>
      </c>
      <c r="C57" s="25">
        <f>SUM(C52:C56)</f>
        <v>4508.5</v>
      </c>
    </row>
    <row r="59" spans="1:3" x14ac:dyDescent="0.3">
      <c r="A59" s="19" t="s">
        <v>53</v>
      </c>
    </row>
    <row r="60" spans="1:3" x14ac:dyDescent="0.3">
      <c r="A60" t="s">
        <v>44</v>
      </c>
      <c r="B60" s="2" t="s">
        <v>45</v>
      </c>
      <c r="C60" s="2" t="s">
        <v>46</v>
      </c>
    </row>
    <row r="61" spans="1:3" x14ac:dyDescent="0.3">
      <c r="A61" t="str">
        <f>A3</f>
        <v>Cindi Beaudet</v>
      </c>
      <c r="B61" s="2">
        <v>2000</v>
      </c>
      <c r="C61" s="2">
        <f>B61*1.27</f>
        <v>2540</v>
      </c>
    </row>
    <row r="62" spans="1:3" x14ac:dyDescent="0.3">
      <c r="A62" t="str">
        <f>A5</f>
        <v>Kyle Means</v>
      </c>
      <c r="B62" s="2">
        <v>200</v>
      </c>
      <c r="C62" s="2">
        <f t="shared" ref="C62:C65" si="12">B62*1.27</f>
        <v>254</v>
      </c>
    </row>
    <row r="63" spans="1:3" x14ac:dyDescent="0.3">
      <c r="A63" t="str">
        <f>A6</f>
        <v>Joseph Sands</v>
      </c>
      <c r="B63" s="2">
        <v>700</v>
      </c>
      <c r="C63" s="2">
        <f t="shared" si="12"/>
        <v>889</v>
      </c>
    </row>
    <row r="64" spans="1:3" x14ac:dyDescent="0.3">
      <c r="A64" t="str">
        <f>A7</f>
        <v>Avel Walker</v>
      </c>
      <c r="B64" s="2">
        <v>200</v>
      </c>
      <c r="C64" s="2">
        <f t="shared" si="12"/>
        <v>254</v>
      </c>
    </row>
    <row r="65" spans="1:3" x14ac:dyDescent="0.3">
      <c r="A65" t="str">
        <f>A8</f>
        <v>Admin - Use Temp Service</v>
      </c>
      <c r="B65" s="2">
        <v>200</v>
      </c>
      <c r="C65" s="2">
        <f t="shared" si="12"/>
        <v>254</v>
      </c>
    </row>
    <row r="66" spans="1:3" x14ac:dyDescent="0.3">
      <c r="B66" s="25">
        <f>SUM(B61:B65)</f>
        <v>3300</v>
      </c>
      <c r="C66" s="25">
        <f>SUM(C61:C65)</f>
        <v>4191</v>
      </c>
    </row>
    <row r="69" spans="1:3" x14ac:dyDescent="0.3">
      <c r="A69" t="s">
        <v>54</v>
      </c>
    </row>
    <row r="71" spans="1:3" x14ac:dyDescent="0.3">
      <c r="A71" s="40" t="s">
        <v>55</v>
      </c>
      <c r="B71" s="41">
        <v>150</v>
      </c>
    </row>
    <row r="72" spans="1:3" x14ac:dyDescent="0.3">
      <c r="A72" s="40" t="s">
        <v>56</v>
      </c>
      <c r="B72" s="41">
        <f>B71*4</f>
        <v>600</v>
      </c>
    </row>
    <row r="73" spans="1:3" x14ac:dyDescent="0.3">
      <c r="A73" s="40" t="s">
        <v>57</v>
      </c>
      <c r="B73" s="41">
        <f>B72*5</f>
        <v>3000</v>
      </c>
    </row>
    <row r="74" spans="1:3" x14ac:dyDescent="0.3">
      <c r="A74" s="40"/>
      <c r="B74" s="41"/>
    </row>
    <row r="75" spans="1:3" x14ac:dyDescent="0.3">
      <c r="A75" s="40" t="s">
        <v>58</v>
      </c>
      <c r="B75" s="41">
        <f>B73*12</f>
        <v>36000</v>
      </c>
    </row>
    <row r="76" spans="1:3" x14ac:dyDescent="0.3">
      <c r="A76" s="40"/>
      <c r="B76" s="41"/>
    </row>
    <row r="77" spans="1:3" x14ac:dyDescent="0.3">
      <c r="A77" s="40" t="s">
        <v>59</v>
      </c>
      <c r="B77" s="41">
        <f>B71*5*12</f>
        <v>9000</v>
      </c>
    </row>
    <row r="78" spans="1:3" x14ac:dyDescent="0.3">
      <c r="A78" s="40" t="s">
        <v>60</v>
      </c>
      <c r="B78" s="41">
        <f>B71*5*5</f>
        <v>3750</v>
      </c>
    </row>
    <row r="79" spans="1:3" x14ac:dyDescent="0.3">
      <c r="A79" s="40" t="s">
        <v>61</v>
      </c>
      <c r="B79" s="41">
        <f>B71*5*3</f>
        <v>2250</v>
      </c>
    </row>
    <row r="80" spans="1:3" ht="15" thickBot="1" x14ac:dyDescent="0.35">
      <c r="A80" s="40"/>
      <c r="B80" s="46">
        <f>SUM(B77:B79)</f>
        <v>15000</v>
      </c>
    </row>
    <row r="81" ht="15" thickTop="1" x14ac:dyDescent="0.3"/>
  </sheetData>
  <pageMargins left="0.7" right="0.7" top="0.75" bottom="0.75" header="0.3" footer="0.3"/>
  <pageSetup scale="90" orientation="landscape" horizontalDpi="0" verticalDpi="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B4062-7DAF-45BB-8726-651899EEF6E9}">
  <sheetPr>
    <pageSetUpPr fitToPage="1"/>
  </sheetPr>
  <dimension ref="A1:P63"/>
  <sheetViews>
    <sheetView workbookViewId="0">
      <selection activeCell="I7" sqref="I7"/>
    </sheetView>
  </sheetViews>
  <sheetFormatPr defaultRowHeight="14.4" x14ac:dyDescent="0.3"/>
  <cols>
    <col min="1" max="1" width="33.6640625" bestFit="1" customWidth="1"/>
    <col min="2" max="2" width="11.109375" style="2" bestFit="1" customWidth="1"/>
    <col min="3" max="3" width="9.5546875" style="2" bestFit="1" customWidth="1"/>
    <col min="4" max="4" width="11.5546875" style="2" bestFit="1" customWidth="1"/>
    <col min="5" max="5" width="11.5546875" bestFit="1" customWidth="1"/>
    <col min="6" max="6" width="9.109375" style="5"/>
    <col min="7" max="7" width="14.88671875" customWidth="1"/>
    <col min="8" max="8" width="10.44140625" style="2" customWidth="1"/>
    <col min="9" max="10" width="11.5546875" style="2" bestFit="1" customWidth="1"/>
    <col min="11" max="11" width="10.5546875" bestFit="1" customWidth="1"/>
    <col min="12" max="12" width="13.44140625" style="2" customWidth="1"/>
    <col min="14" max="14" width="9.109375" style="13"/>
    <col min="15" max="15" width="12.6640625" style="2" customWidth="1"/>
  </cols>
  <sheetData>
    <row r="1" spans="1:15" x14ac:dyDescent="0.3">
      <c r="A1" t="s">
        <v>12</v>
      </c>
      <c r="D1" s="3" t="s">
        <v>13</v>
      </c>
      <c r="E1" s="4"/>
      <c r="G1" s="40" t="s">
        <v>70</v>
      </c>
      <c r="H1" s="2" t="s">
        <v>217</v>
      </c>
      <c r="N1" s="6" t="s">
        <v>14</v>
      </c>
      <c r="O1" s="6"/>
    </row>
    <row r="2" spans="1:15" ht="43.2" x14ac:dyDescent="0.3">
      <c r="B2" s="7" t="s">
        <v>15</v>
      </c>
      <c r="C2" s="7" t="s">
        <v>16</v>
      </c>
      <c r="D2" s="7" t="s">
        <v>17</v>
      </c>
      <c r="E2" s="7" t="s">
        <v>18</v>
      </c>
      <c r="F2" s="8" t="s">
        <v>19</v>
      </c>
      <c r="H2" s="9" t="s">
        <v>20</v>
      </c>
      <c r="I2" s="9" t="s">
        <v>21</v>
      </c>
      <c r="J2" s="9" t="s">
        <v>22</v>
      </c>
      <c r="L2" s="9" t="s">
        <v>23</v>
      </c>
      <c r="N2" s="10" t="s">
        <v>24</v>
      </c>
      <c r="O2" s="2" t="s">
        <v>25</v>
      </c>
    </row>
    <row r="3" spans="1:15" x14ac:dyDescent="0.3">
      <c r="A3" s="40" t="s">
        <v>26</v>
      </c>
      <c r="B3" s="41">
        <v>40</v>
      </c>
      <c r="C3" s="41">
        <v>49.07</v>
      </c>
      <c r="D3" s="2">
        <f>ROUND(C3*F3+C3,2)</f>
        <v>52.01</v>
      </c>
      <c r="E3" s="2">
        <f>D3*2080</f>
        <v>108180.8</v>
      </c>
      <c r="F3" s="11">
        <v>0.06</v>
      </c>
      <c r="G3" s="43" t="s">
        <v>27</v>
      </c>
      <c r="H3" s="41">
        <f>824.03</f>
        <v>824.03</v>
      </c>
      <c r="I3" s="41">
        <v>53.24</v>
      </c>
      <c r="J3" s="41">
        <v>14.84</v>
      </c>
      <c r="K3" s="40"/>
      <c r="L3" s="41">
        <f>ROUND(0.11*E3,2)</f>
        <v>11899.89</v>
      </c>
      <c r="N3" s="6">
        <v>8.7599999999999997E-2</v>
      </c>
      <c r="O3" s="2">
        <f>ROUND(E3*N3,2)</f>
        <v>9476.64</v>
      </c>
    </row>
    <row r="4" spans="1:15" x14ac:dyDescent="0.3">
      <c r="A4" s="40" t="s">
        <v>211</v>
      </c>
      <c r="B4" s="41"/>
      <c r="C4" s="41"/>
      <c r="E4" s="2">
        <f>240*D3</f>
        <v>12482.4</v>
      </c>
      <c r="F4" s="11"/>
      <c r="G4" s="43"/>
      <c r="H4" s="41"/>
      <c r="I4" s="41"/>
      <c r="J4" s="41"/>
      <c r="K4" s="40"/>
      <c r="L4" s="41">
        <f>ROUND(0.11*E4,2)</f>
        <v>1373.06</v>
      </c>
      <c r="N4" s="6">
        <v>8.7599999999999997E-2</v>
      </c>
      <c r="O4" s="2">
        <f>ROUND(E4*N4,2)</f>
        <v>1093.46</v>
      </c>
    </row>
    <row r="5" spans="1:15" x14ac:dyDescent="0.3">
      <c r="A5" s="40" t="s">
        <v>28</v>
      </c>
      <c r="B5" s="41">
        <v>40</v>
      </c>
      <c r="C5" s="41">
        <v>13.8</v>
      </c>
      <c r="D5" s="3">
        <v>14.8</v>
      </c>
      <c r="E5" s="2">
        <f>ROUND(B5*D5,2)*52</f>
        <v>30784</v>
      </c>
      <c r="F5" s="13">
        <f>ROUND((D5-C5)/C5,4)</f>
        <v>7.2499999999999995E-2</v>
      </c>
      <c r="G5" s="43" t="s">
        <v>29</v>
      </c>
      <c r="H5" s="41">
        <f>667.12</f>
        <v>667.12</v>
      </c>
      <c r="I5" s="41">
        <v>53.24</v>
      </c>
      <c r="J5" s="41">
        <v>14.84</v>
      </c>
      <c r="K5" s="40"/>
      <c r="L5" s="41">
        <v>0</v>
      </c>
      <c r="N5" s="6">
        <v>8.7599999999999997E-2</v>
      </c>
      <c r="O5" s="2">
        <f t="shared" ref="O5:O8" si="0">ROUND(E5*N5,2)</f>
        <v>2696.68</v>
      </c>
    </row>
    <row r="6" spans="1:15" x14ac:dyDescent="0.3">
      <c r="A6" s="40" t="s">
        <v>30</v>
      </c>
      <c r="B6" s="41">
        <v>40</v>
      </c>
      <c r="C6" s="41">
        <v>23.5</v>
      </c>
      <c r="D6" s="3">
        <v>24.8</v>
      </c>
      <c r="E6" s="2">
        <f>ROUND(B6*D6,2)*52</f>
        <v>51584</v>
      </c>
      <c r="F6" s="13">
        <f t="shared" ref="F6:F7" si="1">ROUND((D6-C6)/C6,4)</f>
        <v>5.5300000000000002E-2</v>
      </c>
      <c r="G6" s="43" t="s">
        <v>29</v>
      </c>
      <c r="H6" s="41">
        <v>1734.49</v>
      </c>
      <c r="I6" s="41">
        <v>101.92</v>
      </c>
      <c r="J6" s="41">
        <v>20.83</v>
      </c>
      <c r="K6" s="40"/>
      <c r="L6" s="41">
        <f>ROUND(E6*0.05,2)</f>
        <v>2579.1999999999998</v>
      </c>
      <c r="N6" s="6">
        <v>8.7599999999999997E-2</v>
      </c>
      <c r="O6" s="2">
        <f t="shared" si="0"/>
        <v>4518.76</v>
      </c>
    </row>
    <row r="7" spans="1:15" x14ac:dyDescent="0.3">
      <c r="A7" s="40" t="s">
        <v>31</v>
      </c>
      <c r="B7" s="41">
        <v>40</v>
      </c>
      <c r="C7" s="41">
        <v>14.35</v>
      </c>
      <c r="D7" s="3">
        <v>15.2</v>
      </c>
      <c r="E7" s="2">
        <f t="shared" ref="E7" si="2">ROUND(B7*D7,2)*52</f>
        <v>31616</v>
      </c>
      <c r="F7" s="13">
        <f t="shared" si="1"/>
        <v>5.9200000000000003E-2</v>
      </c>
      <c r="G7" s="43" t="s">
        <v>29</v>
      </c>
      <c r="H7" s="41">
        <v>667.12</v>
      </c>
      <c r="I7" s="41">
        <v>53.24</v>
      </c>
      <c r="J7" s="41">
        <v>14.84</v>
      </c>
      <c r="K7" s="40"/>
      <c r="L7" s="41">
        <v>0</v>
      </c>
      <c r="N7" s="6">
        <v>8.7599999999999997E-2</v>
      </c>
      <c r="O7" s="2">
        <f t="shared" si="0"/>
        <v>2769.56</v>
      </c>
    </row>
    <row r="8" spans="1:15" x14ac:dyDescent="0.3">
      <c r="A8" s="40" t="s">
        <v>213</v>
      </c>
      <c r="B8" s="41"/>
      <c r="C8" s="42"/>
      <c r="D8" s="15"/>
      <c r="E8" s="2"/>
      <c r="F8" s="13"/>
      <c r="G8" s="43"/>
      <c r="H8" s="41"/>
      <c r="I8" s="41"/>
      <c r="J8" s="41"/>
      <c r="K8" s="40"/>
      <c r="L8" s="41"/>
      <c r="N8" s="6">
        <v>5.4999999999999997E-3</v>
      </c>
      <c r="O8" s="2">
        <f t="shared" si="0"/>
        <v>0</v>
      </c>
    </row>
    <row r="9" spans="1:15" ht="15" thickBot="1" x14ac:dyDescent="0.35">
      <c r="E9" s="16">
        <f>SUM(E3:E8)</f>
        <v>234647.2</v>
      </c>
      <c r="G9" t="s">
        <v>33</v>
      </c>
      <c r="H9" s="17">
        <f>SUM(H3:H8)</f>
        <v>3892.76</v>
      </c>
      <c r="I9" s="17">
        <f t="shared" ref="I9:J9" si="3">SUM(I3:I8)</f>
        <v>261.64</v>
      </c>
      <c r="J9" s="17">
        <f t="shared" si="3"/>
        <v>65.349999999999994</v>
      </c>
      <c r="L9" s="16">
        <f>SUM(L3:L8)</f>
        <v>15852.149999999998</v>
      </c>
      <c r="N9" s="6"/>
      <c r="O9" s="16">
        <f>SUM(O3:O8)</f>
        <v>20555.100000000002</v>
      </c>
    </row>
    <row r="10" spans="1:15" ht="15.6" thickTop="1" thickBot="1" x14ac:dyDescent="0.35">
      <c r="E10" s="2"/>
      <c r="G10" t="s">
        <v>18</v>
      </c>
      <c r="H10" s="17">
        <f>ROUND(H9*12,0)</f>
        <v>46713</v>
      </c>
      <c r="I10" s="17">
        <f t="shared" ref="I10:J10" si="4">ROUND(I9*12,0)</f>
        <v>3140</v>
      </c>
      <c r="J10" s="17">
        <f t="shared" si="4"/>
        <v>784</v>
      </c>
      <c r="K10" s="18">
        <f>SUM(H10:J10)</f>
        <v>50637</v>
      </c>
      <c r="N10" s="6"/>
    </row>
    <row r="11" spans="1:15" ht="15" thickTop="1" x14ac:dyDescent="0.3">
      <c r="E11" s="2"/>
      <c r="G11" t="s">
        <v>218</v>
      </c>
      <c r="H11" s="2">
        <f>ROUND(H10*0.027,2)</f>
        <v>1261.25</v>
      </c>
      <c r="K11" t="s">
        <v>34</v>
      </c>
      <c r="L11" s="2">
        <v>10500</v>
      </c>
      <c r="N11" s="6">
        <v>6.3E-3</v>
      </c>
      <c r="O11" s="2">
        <f>L11*N11</f>
        <v>66.150000000000006</v>
      </c>
    </row>
    <row r="12" spans="1:15" x14ac:dyDescent="0.3">
      <c r="A12" t="s">
        <v>35</v>
      </c>
      <c r="E12" s="2"/>
      <c r="G12" t="s">
        <v>219</v>
      </c>
      <c r="H12" s="7">
        <f>SUM(H10:H11)</f>
        <v>47974.25</v>
      </c>
      <c r="N12" s="6"/>
    </row>
    <row r="13" spans="1:15" x14ac:dyDescent="0.3">
      <c r="A13" t="s">
        <v>37</v>
      </c>
      <c r="N13" s="6"/>
    </row>
    <row r="14" spans="1:15" x14ac:dyDescent="0.3">
      <c r="F14" s="5" t="s">
        <v>39</v>
      </c>
      <c r="N14" s="6"/>
    </row>
    <row r="15" spans="1:15" x14ac:dyDescent="0.3">
      <c r="A15" s="19" t="s">
        <v>71</v>
      </c>
      <c r="N15" s="6"/>
    </row>
    <row r="16" spans="1:15" x14ac:dyDescent="0.3">
      <c r="A16" t="s">
        <v>44</v>
      </c>
      <c r="B16" s="2" t="s">
        <v>45</v>
      </c>
      <c r="C16" s="2" t="s">
        <v>46</v>
      </c>
      <c r="N16" s="6"/>
    </row>
    <row r="17" spans="1:16" x14ac:dyDescent="0.3">
      <c r="A17" s="40" t="str">
        <f>A25</f>
        <v>Cindi Beaudet</v>
      </c>
      <c r="B17" s="41">
        <v>2000</v>
      </c>
      <c r="C17" s="41">
        <f>B17*1.27</f>
        <v>2540</v>
      </c>
      <c r="H17" s="2" t="s">
        <v>36</v>
      </c>
      <c r="J17" s="2">
        <f>SUM(E9)</f>
        <v>234647.2</v>
      </c>
    </row>
    <row r="18" spans="1:16" ht="15" thickBot="1" x14ac:dyDescent="0.35">
      <c r="A18" s="40" t="str">
        <f t="shared" ref="A18:A21" si="5">A26</f>
        <v>Kyle Means</v>
      </c>
      <c r="B18" s="41">
        <v>325</v>
      </c>
      <c r="C18" s="41">
        <f t="shared" ref="C18:C20" si="6">B18*1.27</f>
        <v>412.75</v>
      </c>
      <c r="H18" s="2" t="s">
        <v>38</v>
      </c>
      <c r="O18" s="16">
        <f>SUM(O9:O11)</f>
        <v>20621.250000000004</v>
      </c>
    </row>
    <row r="19" spans="1:16" ht="15.6" thickTop="1" thickBot="1" x14ac:dyDescent="0.35">
      <c r="A19" s="40" t="str">
        <f t="shared" si="5"/>
        <v>Joseph Sands</v>
      </c>
      <c r="B19" s="41">
        <v>700</v>
      </c>
      <c r="C19" s="41">
        <f t="shared" si="6"/>
        <v>889</v>
      </c>
      <c r="H19" s="2" t="s">
        <v>40</v>
      </c>
      <c r="J19" s="16">
        <f>SUM(J17:J18)</f>
        <v>234647.2</v>
      </c>
      <c r="N19" s="13" t="s">
        <v>41</v>
      </c>
    </row>
    <row r="20" spans="1:16" ht="15" thickTop="1" x14ac:dyDescent="0.3">
      <c r="A20" s="40" t="str">
        <f t="shared" si="5"/>
        <v>Jarren Skaife</v>
      </c>
      <c r="B20" s="41">
        <v>325</v>
      </c>
      <c r="C20" s="41">
        <f t="shared" si="6"/>
        <v>412.75</v>
      </c>
      <c r="N20" s="13" t="s">
        <v>43</v>
      </c>
    </row>
    <row r="21" spans="1:16" x14ac:dyDescent="0.3">
      <c r="A21" s="40" t="str">
        <f t="shared" si="5"/>
        <v>Admin - Use Temp Service</v>
      </c>
      <c r="B21" s="41"/>
      <c r="C21" s="41"/>
      <c r="N21" s="13" t="s">
        <v>47</v>
      </c>
      <c r="O21" s="2">
        <f>-2419-464-662-75</f>
        <v>-3620</v>
      </c>
      <c r="P21" t="s">
        <v>210</v>
      </c>
    </row>
    <row r="22" spans="1:16" ht="15" thickBot="1" x14ac:dyDescent="0.35">
      <c r="A22" s="40"/>
      <c r="B22" s="45">
        <f>SUM(B17:B21)</f>
        <v>3350</v>
      </c>
      <c r="C22" s="45">
        <f>SUM(C17:C21)</f>
        <v>4254.5</v>
      </c>
      <c r="N22" s="20" t="s">
        <v>48</v>
      </c>
      <c r="O22" s="16">
        <f>O18+O21</f>
        <v>17001.250000000004</v>
      </c>
    </row>
    <row r="23" spans="1:16" ht="15" thickTop="1" x14ac:dyDescent="0.3">
      <c r="A23" s="19" t="s">
        <v>71</v>
      </c>
      <c r="J23" s="41" t="s">
        <v>72</v>
      </c>
      <c r="K23" s="40"/>
      <c r="L23" s="41"/>
      <c r="M23" s="40"/>
      <c r="N23" s="44"/>
      <c r="O23" s="41">
        <v>19853.11</v>
      </c>
    </row>
    <row r="24" spans="1:16" x14ac:dyDescent="0.3">
      <c r="A24" t="s">
        <v>216</v>
      </c>
      <c r="B24" s="2" t="s">
        <v>45</v>
      </c>
      <c r="C24" s="2" t="s">
        <v>46</v>
      </c>
      <c r="J24" s="41" t="s">
        <v>73</v>
      </c>
      <c r="K24" s="40"/>
      <c r="L24" s="40"/>
      <c r="M24" s="40"/>
      <c r="N24" s="44"/>
      <c r="O24" s="41">
        <v>14362.9</v>
      </c>
      <c r="P24" t="s">
        <v>210</v>
      </c>
    </row>
    <row r="25" spans="1:16" ht="15" thickBot="1" x14ac:dyDescent="0.35">
      <c r="A25" s="40" t="str">
        <f>A3</f>
        <v>Cindi Beaudet</v>
      </c>
      <c r="B25" s="41"/>
      <c r="C25" s="41">
        <v>2500</v>
      </c>
      <c r="L25"/>
    </row>
    <row r="26" spans="1:16" x14ac:dyDescent="0.3">
      <c r="A26" s="40" t="str">
        <f>A5</f>
        <v>Kyle Means</v>
      </c>
      <c r="B26" s="41"/>
      <c r="C26" s="41">
        <v>700</v>
      </c>
      <c r="H26"/>
      <c r="L26" s="21" t="s">
        <v>51</v>
      </c>
      <c r="M26" s="22"/>
      <c r="N26" s="23"/>
      <c r="O26" s="24">
        <f>ROUND((E9+L11)*0.062,2)</f>
        <v>15199.13</v>
      </c>
    </row>
    <row r="27" spans="1:16" ht="15" thickBot="1" x14ac:dyDescent="0.35">
      <c r="A27" s="40" t="str">
        <f>A6</f>
        <v>Joseph Sands</v>
      </c>
      <c r="B27" s="41"/>
      <c r="C27" s="41">
        <v>1150</v>
      </c>
      <c r="H27"/>
      <c r="L27" s="26" t="s">
        <v>52</v>
      </c>
      <c r="M27" s="27"/>
      <c r="N27" s="28"/>
      <c r="O27" s="29">
        <f>ROUND((E9+L11)*0.0145,2)</f>
        <v>3554.63</v>
      </c>
    </row>
    <row r="28" spans="1:16" x14ac:dyDescent="0.3">
      <c r="A28" s="40" t="str">
        <f>A7</f>
        <v>Jarren Skaife</v>
      </c>
      <c r="B28" s="41"/>
      <c r="C28" s="41">
        <v>750</v>
      </c>
      <c r="L28"/>
    </row>
    <row r="29" spans="1:16" x14ac:dyDescent="0.3">
      <c r="A29" s="40" t="str">
        <f>A8</f>
        <v>Admin - Use Temp Service</v>
      </c>
      <c r="B29" s="41"/>
      <c r="C29" s="41"/>
      <c r="L29"/>
    </row>
    <row r="30" spans="1:16" x14ac:dyDescent="0.3">
      <c r="A30" s="40"/>
      <c r="B30" s="45">
        <f>SUM(B25:B29)</f>
        <v>0</v>
      </c>
      <c r="C30" s="45">
        <f>SUM(C25:C29)</f>
        <v>5100</v>
      </c>
      <c r="L30"/>
    </row>
    <row r="31" spans="1:16" x14ac:dyDescent="0.3">
      <c r="L31"/>
    </row>
    <row r="32" spans="1:16" x14ac:dyDescent="0.3">
      <c r="A32" s="19" t="s">
        <v>42</v>
      </c>
    </row>
    <row r="33" spans="1:9" x14ac:dyDescent="0.3">
      <c r="A33" t="s">
        <v>44</v>
      </c>
      <c r="B33" s="2" t="s">
        <v>45</v>
      </c>
      <c r="C33" s="2" t="s">
        <v>46</v>
      </c>
    </row>
    <row r="34" spans="1:9" x14ac:dyDescent="0.3">
      <c r="A34" t="str">
        <f>A3</f>
        <v>Cindi Beaudet</v>
      </c>
      <c r="B34" s="2">
        <v>2000</v>
      </c>
      <c r="C34" s="2">
        <f>B34*1.27</f>
        <v>2540</v>
      </c>
    </row>
    <row r="35" spans="1:9" x14ac:dyDescent="0.3">
      <c r="A35" t="str">
        <f>A5</f>
        <v>Kyle Means</v>
      </c>
      <c r="B35" s="2">
        <v>275</v>
      </c>
      <c r="C35" s="2">
        <f t="shared" ref="C35:C38" si="7">B35*1.27</f>
        <v>349.25</v>
      </c>
    </row>
    <row r="36" spans="1:9" x14ac:dyDescent="0.3">
      <c r="A36" t="str">
        <f>A6</f>
        <v>Joseph Sands</v>
      </c>
      <c r="B36" s="2">
        <v>700</v>
      </c>
      <c r="C36" s="2">
        <f t="shared" si="7"/>
        <v>889</v>
      </c>
      <c r="I36" s="30"/>
    </row>
    <row r="37" spans="1:9" x14ac:dyDescent="0.3">
      <c r="A37" t="str">
        <f>A7</f>
        <v>Jarren Skaife</v>
      </c>
      <c r="B37" s="2">
        <v>275</v>
      </c>
      <c r="C37" s="2">
        <f t="shared" si="7"/>
        <v>349.25</v>
      </c>
    </row>
    <row r="38" spans="1:9" x14ac:dyDescent="0.3">
      <c r="A38" t="str">
        <f>A8</f>
        <v>Admin - Use Temp Service</v>
      </c>
      <c r="B38" s="2">
        <v>300</v>
      </c>
      <c r="C38" s="2">
        <f t="shared" si="7"/>
        <v>381</v>
      </c>
    </row>
    <row r="39" spans="1:9" x14ac:dyDescent="0.3">
      <c r="B39" s="25">
        <f>SUM(B34:B38)</f>
        <v>3550</v>
      </c>
      <c r="C39" s="25">
        <f>SUM(C34:C38)</f>
        <v>4508.5</v>
      </c>
    </row>
    <row r="41" spans="1:9" x14ac:dyDescent="0.3">
      <c r="A41" s="19" t="s">
        <v>53</v>
      </c>
    </row>
    <row r="42" spans="1:9" x14ac:dyDescent="0.3">
      <c r="A42" t="s">
        <v>44</v>
      </c>
      <c r="B42" s="2" t="s">
        <v>45</v>
      </c>
      <c r="C42" s="2" t="s">
        <v>46</v>
      </c>
    </row>
    <row r="43" spans="1:9" x14ac:dyDescent="0.3">
      <c r="A43" t="str">
        <f>A3</f>
        <v>Cindi Beaudet</v>
      </c>
      <c r="B43" s="2">
        <v>2000</v>
      </c>
      <c r="C43" s="2">
        <f>B43*1.27</f>
        <v>2540</v>
      </c>
    </row>
    <row r="44" spans="1:9" x14ac:dyDescent="0.3">
      <c r="A44" t="str">
        <f>A5</f>
        <v>Kyle Means</v>
      </c>
      <c r="B44" s="2">
        <v>200</v>
      </c>
      <c r="C44" s="2">
        <f t="shared" ref="C44:C47" si="8">B44*1.27</f>
        <v>254</v>
      </c>
    </row>
    <row r="45" spans="1:9" x14ac:dyDescent="0.3">
      <c r="A45" t="str">
        <f>A6</f>
        <v>Joseph Sands</v>
      </c>
      <c r="B45" s="2">
        <v>700</v>
      </c>
      <c r="C45" s="2">
        <f t="shared" si="8"/>
        <v>889</v>
      </c>
    </row>
    <row r="46" spans="1:9" x14ac:dyDescent="0.3">
      <c r="A46" t="str">
        <f>A7</f>
        <v>Jarren Skaife</v>
      </c>
      <c r="B46" s="2">
        <v>200</v>
      </c>
      <c r="C46" s="2">
        <f t="shared" si="8"/>
        <v>254</v>
      </c>
    </row>
    <row r="47" spans="1:9" x14ac:dyDescent="0.3">
      <c r="A47" t="str">
        <f>A8</f>
        <v>Admin - Use Temp Service</v>
      </c>
      <c r="B47" s="2">
        <v>200</v>
      </c>
      <c r="C47" s="2">
        <f t="shared" si="8"/>
        <v>254</v>
      </c>
    </row>
    <row r="48" spans="1:9" x14ac:dyDescent="0.3">
      <c r="B48" s="25">
        <f>SUM(B43:B47)</f>
        <v>3300</v>
      </c>
      <c r="C48" s="25">
        <f>SUM(C43:C47)</f>
        <v>4191</v>
      </c>
    </row>
    <row r="51" spans="1:2" x14ac:dyDescent="0.3">
      <c r="A51" t="s">
        <v>54</v>
      </c>
    </row>
    <row r="53" spans="1:2" x14ac:dyDescent="0.3">
      <c r="A53" s="40" t="s">
        <v>55</v>
      </c>
      <c r="B53" s="41">
        <v>150</v>
      </c>
    </row>
    <row r="54" spans="1:2" x14ac:dyDescent="0.3">
      <c r="A54" s="40" t="s">
        <v>56</v>
      </c>
      <c r="B54" s="41">
        <f>B53*4</f>
        <v>600</v>
      </c>
    </row>
    <row r="55" spans="1:2" x14ac:dyDescent="0.3">
      <c r="A55" s="40" t="s">
        <v>57</v>
      </c>
      <c r="B55" s="41">
        <f>B54*5</f>
        <v>3000</v>
      </c>
    </row>
    <row r="56" spans="1:2" x14ac:dyDescent="0.3">
      <c r="A56" s="40"/>
      <c r="B56" s="41"/>
    </row>
    <row r="57" spans="1:2" x14ac:dyDescent="0.3">
      <c r="A57" s="40" t="s">
        <v>58</v>
      </c>
      <c r="B57" s="41">
        <f>B55*12</f>
        <v>36000</v>
      </c>
    </row>
    <row r="58" spans="1:2" x14ac:dyDescent="0.3">
      <c r="A58" s="40"/>
      <c r="B58" s="41"/>
    </row>
    <row r="59" spans="1:2" x14ac:dyDescent="0.3">
      <c r="A59" s="40" t="s">
        <v>59</v>
      </c>
      <c r="B59" s="41">
        <f>B53*5*12</f>
        <v>9000</v>
      </c>
    </row>
    <row r="60" spans="1:2" x14ac:dyDescent="0.3">
      <c r="A60" s="40" t="s">
        <v>60</v>
      </c>
      <c r="B60" s="41">
        <f>B53*5*5</f>
        <v>3750</v>
      </c>
    </row>
    <row r="61" spans="1:2" x14ac:dyDescent="0.3">
      <c r="A61" s="40" t="s">
        <v>61</v>
      </c>
      <c r="B61" s="41">
        <f>B53*5*3</f>
        <v>2250</v>
      </c>
    </row>
    <row r="62" spans="1:2" ht="15" thickBot="1" x14ac:dyDescent="0.35">
      <c r="A62" s="40"/>
      <c r="B62" s="46">
        <f>SUM(B59:B61)</f>
        <v>15000</v>
      </c>
    </row>
    <row r="63" spans="1:2" ht="15" thickTop="1" x14ac:dyDescent="0.3"/>
  </sheetData>
  <pageMargins left="0.7" right="0.7" top="0.75" bottom="0.75" header="0.3" footer="0.3"/>
  <pageSetup scale="58" orientation="landscape" horizontalDpi="0" verticalDpi="0"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88711-0CA6-474B-9D63-E9690783D0F9}">
  <sheetPr>
    <pageSetUpPr fitToPage="1"/>
  </sheetPr>
  <dimension ref="A1:O46"/>
  <sheetViews>
    <sheetView workbookViewId="0">
      <selection activeCell="S5" sqref="S5"/>
    </sheetView>
  </sheetViews>
  <sheetFormatPr defaultRowHeight="14.4" x14ac:dyDescent="0.3"/>
  <cols>
    <col min="1" max="1" width="33.6640625" bestFit="1" customWidth="1"/>
    <col min="2" max="2" width="11.109375" style="2" bestFit="1" customWidth="1"/>
    <col min="3" max="3" width="9.5546875" style="2" bestFit="1" customWidth="1"/>
    <col min="4" max="4" width="11.5546875" style="2" bestFit="1" customWidth="1"/>
    <col min="5" max="5" width="11.5546875" bestFit="1" customWidth="1"/>
    <col min="6" max="6" width="11" style="5" bestFit="1" customWidth="1"/>
    <col min="7" max="7" width="14.88671875" hidden="1" customWidth="1"/>
    <col min="8" max="8" width="10.44140625" style="2" hidden="1" customWidth="1"/>
    <col min="9" max="10" width="11.5546875" style="2" hidden="1" customWidth="1"/>
    <col min="11" max="11" width="10.5546875" hidden="1" customWidth="1"/>
    <col min="12" max="12" width="10.109375" style="2" hidden="1" customWidth="1"/>
    <col min="13" max="13" width="0" hidden="1" customWidth="1"/>
    <col min="14" max="14" width="0" style="13" hidden="1" customWidth="1"/>
    <col min="15" max="15" width="12.6640625" style="2" hidden="1" customWidth="1"/>
  </cols>
  <sheetData>
    <row r="1" spans="1:15" x14ac:dyDescent="0.3">
      <c r="A1" t="s">
        <v>12</v>
      </c>
      <c r="D1" s="3" t="s">
        <v>13</v>
      </c>
      <c r="E1" s="4"/>
      <c r="N1" s="6" t="s">
        <v>14</v>
      </c>
    </row>
    <row r="2" spans="1:15" ht="43.2" x14ac:dyDescent="0.3">
      <c r="B2" s="7" t="s">
        <v>15</v>
      </c>
      <c r="C2" s="7" t="s">
        <v>16</v>
      </c>
      <c r="D2" s="7" t="s">
        <v>17</v>
      </c>
      <c r="E2" s="7" t="s">
        <v>18</v>
      </c>
      <c r="F2" s="8" t="s">
        <v>19</v>
      </c>
      <c r="H2" s="9" t="s">
        <v>20</v>
      </c>
      <c r="I2" s="9" t="s">
        <v>21</v>
      </c>
      <c r="J2" s="9" t="s">
        <v>22</v>
      </c>
      <c r="L2" s="9" t="s">
        <v>23</v>
      </c>
      <c r="N2" s="10" t="s">
        <v>24</v>
      </c>
      <c r="O2" s="2" t="s">
        <v>25</v>
      </c>
    </row>
    <row r="3" spans="1:15" x14ac:dyDescent="0.3">
      <c r="A3" t="s">
        <v>26</v>
      </c>
      <c r="B3" s="2">
        <v>40</v>
      </c>
      <c r="C3" s="2">
        <v>46.31</v>
      </c>
      <c r="D3" s="2">
        <v>49.07</v>
      </c>
      <c r="E3" s="2">
        <f>D3*2080</f>
        <v>102065.60000000001</v>
      </c>
      <c r="F3" s="11">
        <v>0.06</v>
      </c>
      <c r="G3" s="12" t="s">
        <v>27</v>
      </c>
      <c r="H3" s="2">
        <v>695.97</v>
      </c>
      <c r="I3" s="2">
        <v>53.24</v>
      </c>
      <c r="J3" s="2">
        <v>14.84</v>
      </c>
      <c r="L3" s="2">
        <f>ROUND(E3*0.08,2)</f>
        <v>8165.25</v>
      </c>
      <c r="N3" s="6">
        <v>8.7599999999999997E-2</v>
      </c>
      <c r="O3" s="2">
        <f>ROUND(E3*N3,2)</f>
        <v>8940.9500000000007</v>
      </c>
    </row>
    <row r="4" spans="1:15" x14ac:dyDescent="0.3">
      <c r="A4" t="s">
        <v>28</v>
      </c>
      <c r="B4" s="2">
        <v>40</v>
      </c>
      <c r="C4" s="2">
        <v>13.5</v>
      </c>
      <c r="D4" s="3">
        <v>13.8</v>
      </c>
      <c r="E4" s="2">
        <f>ROUND(B4*D4,2)*52</f>
        <v>28704</v>
      </c>
      <c r="F4" s="13">
        <f>ROUND((D4-C4)/C4,4)</f>
        <v>2.2200000000000001E-2</v>
      </c>
      <c r="G4" s="12" t="s">
        <v>29</v>
      </c>
      <c r="H4" s="2">
        <v>666.8</v>
      </c>
      <c r="I4" s="2">
        <v>53.24</v>
      </c>
      <c r="J4" s="2">
        <v>14.84</v>
      </c>
      <c r="L4" s="2">
        <v>0</v>
      </c>
      <c r="N4" s="6">
        <v>8.7599999999999997E-2</v>
      </c>
      <c r="O4" s="2">
        <f t="shared" ref="O4:O7" si="0">ROUND(E4*N4,2)</f>
        <v>2514.4699999999998</v>
      </c>
    </row>
    <row r="5" spans="1:15" x14ac:dyDescent="0.3">
      <c r="A5" t="s">
        <v>30</v>
      </c>
      <c r="B5" s="2">
        <v>40</v>
      </c>
      <c r="C5" s="2">
        <v>21.8</v>
      </c>
      <c r="D5" s="3">
        <v>23.5</v>
      </c>
      <c r="E5" s="2">
        <f>ROUND(B5*D5,2)*52</f>
        <v>48880</v>
      </c>
      <c r="F5" s="13">
        <f t="shared" ref="F5:F7" si="1">ROUND((D5-C5)/C5,4)</f>
        <v>7.8E-2</v>
      </c>
      <c r="G5" s="12" t="s">
        <v>29</v>
      </c>
      <c r="H5" s="2">
        <v>1733.68</v>
      </c>
      <c r="I5" s="2">
        <v>101.92</v>
      </c>
      <c r="J5" s="2">
        <v>20.83</v>
      </c>
      <c r="L5" s="2">
        <f>ROUND(E5*0.05,2)</f>
        <v>2444</v>
      </c>
      <c r="N5" s="6">
        <v>8.7599999999999997E-2</v>
      </c>
      <c r="O5" s="2">
        <f t="shared" si="0"/>
        <v>4281.8900000000003</v>
      </c>
    </row>
    <row r="6" spans="1:15" x14ac:dyDescent="0.3">
      <c r="A6" t="s">
        <v>31</v>
      </c>
      <c r="B6" s="2">
        <v>40</v>
      </c>
      <c r="C6" s="2">
        <v>13.85</v>
      </c>
      <c r="D6" s="3">
        <v>14.35</v>
      </c>
      <c r="E6" s="2">
        <f t="shared" ref="E6" si="2">ROUND(B6*D6,2)*52</f>
        <v>29848</v>
      </c>
      <c r="F6" s="13">
        <f t="shared" si="1"/>
        <v>3.61E-2</v>
      </c>
      <c r="G6" s="12" t="s">
        <v>29</v>
      </c>
      <c r="H6" s="2">
        <v>666.8</v>
      </c>
      <c r="I6" s="2">
        <v>53.24</v>
      </c>
      <c r="J6" s="2">
        <v>14.84</v>
      </c>
      <c r="L6" s="2">
        <v>0</v>
      </c>
      <c r="N6" s="6">
        <v>8.7599999999999997E-2</v>
      </c>
      <c r="O6" s="2">
        <f t="shared" si="0"/>
        <v>2614.6799999999998</v>
      </c>
    </row>
    <row r="7" spans="1:15" x14ac:dyDescent="0.3">
      <c r="A7" t="s">
        <v>32</v>
      </c>
      <c r="B7" s="2">
        <v>40</v>
      </c>
      <c r="C7" s="14">
        <v>14.5</v>
      </c>
      <c r="D7" s="15">
        <v>15</v>
      </c>
      <c r="E7" s="2">
        <f>ROUND(B7*D7,2)*52</f>
        <v>31200</v>
      </c>
      <c r="F7" s="13">
        <f t="shared" si="1"/>
        <v>3.4500000000000003E-2</v>
      </c>
      <c r="G7" s="12" t="s">
        <v>29</v>
      </c>
      <c r="H7" s="2">
        <v>1733.68</v>
      </c>
      <c r="I7" s="2">
        <v>101.92</v>
      </c>
      <c r="J7" s="2">
        <v>20.83</v>
      </c>
      <c r="L7" s="2">
        <f>ROUND(E7*0.05,2)</f>
        <v>1560</v>
      </c>
      <c r="N7" s="6">
        <v>5.4999999999999997E-3</v>
      </c>
      <c r="O7" s="2">
        <f t="shared" si="0"/>
        <v>171.6</v>
      </c>
    </row>
    <row r="8" spans="1:15" ht="15" thickBot="1" x14ac:dyDescent="0.35">
      <c r="E8" s="16">
        <f>SUM(E3:E7)</f>
        <v>240697.60000000001</v>
      </c>
      <c r="G8" t="s">
        <v>33</v>
      </c>
      <c r="H8" s="17">
        <f>SUM(H3:H7)</f>
        <v>5496.93</v>
      </c>
      <c r="I8" s="17">
        <f t="shared" ref="I8:J8" si="3">SUM(I3:I7)</f>
        <v>363.56</v>
      </c>
      <c r="J8" s="17">
        <f t="shared" si="3"/>
        <v>86.179999999999993</v>
      </c>
      <c r="L8" s="16">
        <f>SUM(L3:L7)</f>
        <v>12169.25</v>
      </c>
      <c r="N8" s="6"/>
      <c r="O8" s="16">
        <f>SUM(O3:O7)</f>
        <v>18523.59</v>
      </c>
    </row>
    <row r="9" spans="1:15" ht="15.6" thickTop="1" thickBot="1" x14ac:dyDescent="0.35">
      <c r="E9" s="2"/>
      <c r="G9" t="s">
        <v>18</v>
      </c>
      <c r="H9" s="17">
        <f>ROUND(H8*12,0)</f>
        <v>65963</v>
      </c>
      <c r="I9" s="17">
        <f t="shared" ref="I9:J9" si="4">ROUND(I8*12,0)</f>
        <v>4363</v>
      </c>
      <c r="J9" s="17">
        <f t="shared" si="4"/>
        <v>1034</v>
      </c>
      <c r="K9" s="18">
        <f>SUM(H9:J9)</f>
        <v>71360</v>
      </c>
      <c r="N9" s="6"/>
    </row>
    <row r="10" spans="1:15" ht="15" thickTop="1" x14ac:dyDescent="0.3">
      <c r="D10" s="2" t="s">
        <v>215</v>
      </c>
      <c r="E10" s="2">
        <f>E3</f>
        <v>102065.60000000001</v>
      </c>
      <c r="F10" s="2">
        <f>E10/52*13*0.1</f>
        <v>2551.6400000000003</v>
      </c>
      <c r="K10" t="s">
        <v>34</v>
      </c>
      <c r="L10" s="2">
        <v>9500</v>
      </c>
      <c r="N10" s="6">
        <v>6.3E-3</v>
      </c>
      <c r="O10" s="2">
        <f>L10*N10</f>
        <v>59.85</v>
      </c>
    </row>
    <row r="11" spans="1:15" x14ac:dyDescent="0.3">
      <c r="A11" t="s">
        <v>35</v>
      </c>
      <c r="E11" s="2">
        <f>E4</f>
        <v>28704</v>
      </c>
      <c r="F11" s="2">
        <f t="shared" ref="F11:F13" si="5">E11/52*13*0.1</f>
        <v>717.6</v>
      </c>
      <c r="H11" s="2" t="s">
        <v>36</v>
      </c>
      <c r="J11" s="2">
        <f>SUM(E8)</f>
        <v>240697.60000000001</v>
      </c>
    </row>
    <row r="12" spans="1:15" ht="15" thickBot="1" x14ac:dyDescent="0.35">
      <c r="A12" t="s">
        <v>37</v>
      </c>
      <c r="E12" s="2">
        <f t="shared" ref="E12:E13" si="6">E5</f>
        <v>48880</v>
      </c>
      <c r="F12" s="2">
        <f t="shared" si="5"/>
        <v>1222</v>
      </c>
      <c r="H12" s="2" t="s">
        <v>38</v>
      </c>
      <c r="O12" s="16">
        <f>SUM(O8:O10)</f>
        <v>18583.439999999999</v>
      </c>
    </row>
    <row r="13" spans="1:15" ht="15.6" thickTop="1" thickBot="1" x14ac:dyDescent="0.35">
      <c r="E13" s="2">
        <f t="shared" si="6"/>
        <v>29848</v>
      </c>
      <c r="F13" s="2">
        <f t="shared" si="5"/>
        <v>746.2</v>
      </c>
      <c r="H13" s="2" t="s">
        <v>40</v>
      </c>
      <c r="J13" s="16">
        <f>SUM(J11:J12)</f>
        <v>240697.60000000001</v>
      </c>
      <c r="N13" s="13" t="s">
        <v>41</v>
      </c>
    </row>
    <row r="14" spans="1:15" ht="15.6" thickTop="1" thickBot="1" x14ac:dyDescent="0.35">
      <c r="E14" s="59">
        <f>SUM(E10:E13)</f>
        <v>209497.60000000001</v>
      </c>
      <c r="F14" s="59">
        <f>SUM(F10:F13)</f>
        <v>5237.4399999999996</v>
      </c>
      <c r="N14" s="13" t="s">
        <v>43</v>
      </c>
    </row>
    <row r="15" spans="1:15" x14ac:dyDescent="0.3">
      <c r="E15" s="2" t="s">
        <v>214</v>
      </c>
      <c r="F15" s="2">
        <f>E14/52*13*0.1</f>
        <v>5237.4400000000005</v>
      </c>
      <c r="N15" s="13" t="s">
        <v>47</v>
      </c>
      <c r="O15" s="2">
        <f>-2018.79-311-724.67</f>
        <v>-3054.46</v>
      </c>
    </row>
    <row r="16" spans="1:15" ht="15" hidden="1" thickBot="1" x14ac:dyDescent="0.35">
      <c r="A16" s="19" t="s">
        <v>42</v>
      </c>
      <c r="N16" s="20" t="s">
        <v>48</v>
      </c>
      <c r="O16" s="16">
        <f>O12+O15</f>
        <v>15528.98</v>
      </c>
    </row>
    <row r="17" spans="1:15" ht="15" hidden="1" thickTop="1" x14ac:dyDescent="0.3">
      <c r="A17" t="s">
        <v>44</v>
      </c>
      <c r="B17" s="2" t="s">
        <v>45</v>
      </c>
      <c r="C17" s="2" t="s">
        <v>46</v>
      </c>
      <c r="J17" s="2" t="s">
        <v>49</v>
      </c>
      <c r="O17" s="2">
        <v>19086.78</v>
      </c>
    </row>
    <row r="18" spans="1:15" hidden="1" x14ac:dyDescent="0.3">
      <c r="A18" t="str">
        <f>A3</f>
        <v>Cindi Beaudet</v>
      </c>
      <c r="B18" s="2">
        <v>2000</v>
      </c>
      <c r="C18" s="2">
        <f>B18*1.27</f>
        <v>2540</v>
      </c>
      <c r="J18" s="2" t="s">
        <v>50</v>
      </c>
      <c r="L18"/>
      <c r="O18" s="2">
        <v>10686.13</v>
      </c>
    </row>
    <row r="19" spans="1:15" ht="15" hidden="1" thickBot="1" x14ac:dyDescent="0.35">
      <c r="A19" t="str">
        <f>A4</f>
        <v>Kyle Means</v>
      </c>
      <c r="B19" s="2">
        <v>275</v>
      </c>
      <c r="C19" s="2">
        <f t="shared" ref="C19:C22" si="7">B19*1.27</f>
        <v>349.25</v>
      </c>
      <c r="L19"/>
    </row>
    <row r="20" spans="1:15" hidden="1" x14ac:dyDescent="0.3">
      <c r="A20" t="str">
        <f>A5</f>
        <v>Joseph Sands</v>
      </c>
      <c r="B20" s="2">
        <v>700</v>
      </c>
      <c r="C20" s="2">
        <f t="shared" si="7"/>
        <v>889</v>
      </c>
      <c r="H20"/>
      <c r="L20" s="21" t="s">
        <v>51</v>
      </c>
      <c r="M20" s="22"/>
      <c r="N20" s="23"/>
      <c r="O20" s="24">
        <f>ROUND((E8+L10)*0.062,2)</f>
        <v>15512.25</v>
      </c>
    </row>
    <row r="21" spans="1:15" ht="15" hidden="1" thickBot="1" x14ac:dyDescent="0.35">
      <c r="A21" t="str">
        <f>A6</f>
        <v>Jarren Skaife</v>
      </c>
      <c r="B21" s="2">
        <v>275</v>
      </c>
      <c r="C21" s="2">
        <f t="shared" si="7"/>
        <v>349.25</v>
      </c>
      <c r="H21"/>
      <c r="L21" s="26" t="s">
        <v>52</v>
      </c>
      <c r="M21" s="27"/>
      <c r="N21" s="28"/>
      <c r="O21" s="29">
        <f>ROUND((E8+L10)*0.0145,2)</f>
        <v>3627.87</v>
      </c>
    </row>
    <row r="22" spans="1:15" hidden="1" x14ac:dyDescent="0.3">
      <c r="A22" t="str">
        <f>A7</f>
        <v>Michelle Hesselgesser</v>
      </c>
      <c r="B22" s="2">
        <v>300</v>
      </c>
      <c r="C22" s="2">
        <f t="shared" si="7"/>
        <v>381</v>
      </c>
      <c r="L22"/>
    </row>
    <row r="23" spans="1:15" hidden="1" x14ac:dyDescent="0.3">
      <c r="B23" s="25">
        <f>SUM(B18:B22)</f>
        <v>3550</v>
      </c>
      <c r="C23" s="25">
        <f>SUM(C18:C22)</f>
        <v>4508.5</v>
      </c>
      <c r="L23"/>
    </row>
    <row r="24" spans="1:15" hidden="1" x14ac:dyDescent="0.3">
      <c r="L24"/>
    </row>
    <row r="25" spans="1:15" hidden="1" x14ac:dyDescent="0.3">
      <c r="A25" s="19" t="s">
        <v>53</v>
      </c>
      <c r="L25"/>
    </row>
    <row r="26" spans="1:15" hidden="1" x14ac:dyDescent="0.3">
      <c r="A26" t="s">
        <v>44</v>
      </c>
      <c r="B26" s="2" t="s">
        <v>45</v>
      </c>
      <c r="C26" s="2" t="s">
        <v>46</v>
      </c>
    </row>
    <row r="27" spans="1:15" hidden="1" x14ac:dyDescent="0.3">
      <c r="A27" t="str">
        <f>A3</f>
        <v>Cindi Beaudet</v>
      </c>
      <c r="B27" s="2">
        <v>2000</v>
      </c>
      <c r="C27" s="2">
        <f>B27*1.27</f>
        <v>2540</v>
      </c>
    </row>
    <row r="28" spans="1:15" hidden="1" x14ac:dyDescent="0.3">
      <c r="A28" t="str">
        <f>A4</f>
        <v>Kyle Means</v>
      </c>
      <c r="B28" s="2">
        <v>200</v>
      </c>
      <c r="C28" s="2">
        <f t="shared" ref="C28:C31" si="8">B28*1.27</f>
        <v>254</v>
      </c>
    </row>
    <row r="29" spans="1:15" hidden="1" x14ac:dyDescent="0.3">
      <c r="A29" t="str">
        <f>A5</f>
        <v>Joseph Sands</v>
      </c>
      <c r="B29" s="2">
        <v>700</v>
      </c>
      <c r="C29" s="2">
        <f t="shared" si="8"/>
        <v>889</v>
      </c>
    </row>
    <row r="30" spans="1:15" hidden="1" x14ac:dyDescent="0.3">
      <c r="A30" t="str">
        <f>A6</f>
        <v>Jarren Skaife</v>
      </c>
      <c r="B30" s="2">
        <v>200</v>
      </c>
      <c r="C30" s="2">
        <f t="shared" si="8"/>
        <v>254</v>
      </c>
      <c r="I30" s="30"/>
    </row>
    <row r="31" spans="1:15" hidden="1" x14ac:dyDescent="0.3">
      <c r="A31" t="str">
        <f>A7</f>
        <v>Michelle Hesselgesser</v>
      </c>
      <c r="B31" s="2">
        <v>200</v>
      </c>
      <c r="C31" s="2">
        <f t="shared" si="8"/>
        <v>254</v>
      </c>
    </row>
    <row r="32" spans="1:15" hidden="1" x14ac:dyDescent="0.3">
      <c r="B32" s="25">
        <f>SUM(B27:B31)</f>
        <v>3300</v>
      </c>
      <c r="C32" s="25">
        <f>SUM(C27:C31)</f>
        <v>4191</v>
      </c>
    </row>
    <row r="33" spans="1:2" hidden="1" x14ac:dyDescent="0.3"/>
    <row r="34" spans="1:2" hidden="1" x14ac:dyDescent="0.3"/>
    <row r="35" spans="1:2" hidden="1" x14ac:dyDescent="0.3">
      <c r="A35" t="s">
        <v>54</v>
      </c>
    </row>
    <row r="36" spans="1:2" hidden="1" x14ac:dyDescent="0.3"/>
    <row r="37" spans="1:2" hidden="1" x14ac:dyDescent="0.3">
      <c r="A37" t="s">
        <v>55</v>
      </c>
      <c r="B37" s="2">
        <v>150</v>
      </c>
    </row>
    <row r="38" spans="1:2" hidden="1" x14ac:dyDescent="0.3">
      <c r="A38" t="s">
        <v>56</v>
      </c>
      <c r="B38" s="2">
        <f>B37*4</f>
        <v>600</v>
      </c>
    </row>
    <row r="39" spans="1:2" hidden="1" x14ac:dyDescent="0.3">
      <c r="A39" t="s">
        <v>57</v>
      </c>
      <c r="B39" s="2">
        <f>B38*5</f>
        <v>3000</v>
      </c>
    </row>
    <row r="40" spans="1:2" hidden="1" x14ac:dyDescent="0.3"/>
    <row r="41" spans="1:2" hidden="1" x14ac:dyDescent="0.3">
      <c r="A41" t="s">
        <v>58</v>
      </c>
      <c r="B41" s="2">
        <f>B39*12</f>
        <v>36000</v>
      </c>
    </row>
    <row r="42" spans="1:2" hidden="1" x14ac:dyDescent="0.3"/>
    <row r="43" spans="1:2" hidden="1" x14ac:dyDescent="0.3">
      <c r="A43" t="s">
        <v>59</v>
      </c>
      <c r="B43" s="2">
        <f>B37*5*12</f>
        <v>9000</v>
      </c>
    </row>
    <row r="44" spans="1:2" hidden="1" x14ac:dyDescent="0.3">
      <c r="A44" t="s">
        <v>60</v>
      </c>
      <c r="B44" s="2">
        <f>B37*5*5</f>
        <v>3750</v>
      </c>
    </row>
    <row r="45" spans="1:2" hidden="1" x14ac:dyDescent="0.3">
      <c r="A45" t="s">
        <v>61</v>
      </c>
      <c r="B45" s="2">
        <f>B37*5*3</f>
        <v>2250</v>
      </c>
    </row>
    <row r="46" spans="1:2" ht="15" hidden="1" thickBot="1" x14ac:dyDescent="0.35">
      <c r="B46" s="16">
        <f>SUM(B43:B45)</f>
        <v>15000</v>
      </c>
    </row>
  </sheetData>
  <pageMargins left="0.7" right="0.7" top="0.75" bottom="0.75" header="0.3" footer="0.3"/>
  <pageSetup orientation="landscape" horizontalDpi="0" verticalDpi="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C115B-D291-4ED0-9A48-15DA5041D0F9}">
  <sheetPr>
    <pageSetUpPr fitToPage="1"/>
  </sheetPr>
  <dimension ref="A1:O35"/>
  <sheetViews>
    <sheetView workbookViewId="0">
      <selection activeCell="N36" sqref="N36"/>
    </sheetView>
  </sheetViews>
  <sheetFormatPr defaultRowHeight="14.4" x14ac:dyDescent="0.3"/>
  <cols>
    <col min="1" max="1" width="33.6640625" bestFit="1" customWidth="1"/>
    <col min="2" max="2" width="11.109375" style="2" bestFit="1" customWidth="1"/>
    <col min="3" max="3" width="9.5546875" style="2" bestFit="1" customWidth="1"/>
    <col min="4" max="4" width="11.5546875" style="2" bestFit="1" customWidth="1"/>
    <col min="5" max="5" width="11.5546875" bestFit="1" customWidth="1"/>
    <col min="6" max="6" width="9.109375" style="5"/>
    <col min="7" max="7" width="14.88671875" customWidth="1"/>
    <col min="8" max="8" width="10.44140625" style="2" customWidth="1"/>
    <col min="9" max="10" width="11.5546875" style="2" bestFit="1" customWidth="1"/>
    <col min="11" max="11" width="10.5546875" bestFit="1" customWidth="1"/>
    <col min="12" max="12" width="10.109375" style="2" bestFit="1" customWidth="1"/>
    <col min="14" max="14" width="9.109375" style="13"/>
    <col min="15" max="15" width="12.6640625" style="2" customWidth="1"/>
  </cols>
  <sheetData>
    <row r="1" spans="1:15" x14ac:dyDescent="0.3">
      <c r="A1" t="s">
        <v>12</v>
      </c>
      <c r="D1" s="3" t="s">
        <v>13</v>
      </c>
      <c r="E1" s="4"/>
    </row>
    <row r="2" spans="1:15" ht="43.2" x14ac:dyDescent="0.3">
      <c r="B2" s="7" t="s">
        <v>15</v>
      </c>
      <c r="C2" s="7" t="s">
        <v>16</v>
      </c>
      <c r="D2" s="7" t="s">
        <v>17</v>
      </c>
      <c r="E2" s="7" t="s">
        <v>18</v>
      </c>
      <c r="F2" s="8" t="s">
        <v>19</v>
      </c>
      <c r="H2" s="9" t="s">
        <v>20</v>
      </c>
      <c r="I2" s="9" t="s">
        <v>21</v>
      </c>
      <c r="J2" s="9" t="s">
        <v>22</v>
      </c>
      <c r="L2" s="9" t="s">
        <v>23</v>
      </c>
      <c r="N2" s="31" t="s">
        <v>24</v>
      </c>
      <c r="O2" s="2" t="s">
        <v>25</v>
      </c>
    </row>
    <row r="3" spans="1:15" x14ac:dyDescent="0.3">
      <c r="A3" t="s">
        <v>26</v>
      </c>
      <c r="B3" s="2">
        <v>40</v>
      </c>
      <c r="C3" s="2">
        <v>42.88</v>
      </c>
      <c r="D3" s="2">
        <f>ROUND(C3*F3+C3,2)</f>
        <v>46.31</v>
      </c>
      <c r="E3" s="2">
        <f>D3*2080</f>
        <v>96324.800000000003</v>
      </c>
      <c r="F3" s="11">
        <v>0.08</v>
      </c>
      <c r="G3" s="12" t="s">
        <v>27</v>
      </c>
      <c r="H3" s="2">
        <v>695.97</v>
      </c>
      <c r="I3" s="2">
        <v>53.24</v>
      </c>
      <c r="J3" s="2">
        <v>14.84</v>
      </c>
      <c r="L3" s="2">
        <f>ROUND(E3*0.08,2)</f>
        <v>7705.98</v>
      </c>
      <c r="N3" s="13">
        <v>8.3400000000000002E-2</v>
      </c>
      <c r="O3" s="2">
        <f>ROUND(E3*N3,2)</f>
        <v>8033.49</v>
      </c>
    </row>
    <row r="4" spans="1:15" x14ac:dyDescent="0.3">
      <c r="A4" t="s">
        <v>28</v>
      </c>
      <c r="B4" s="2">
        <v>40</v>
      </c>
      <c r="C4" s="2">
        <v>13</v>
      </c>
      <c r="D4" s="3">
        <v>13.5</v>
      </c>
      <c r="E4" s="2">
        <f>ROUND(B4*D4,2)*52</f>
        <v>28080</v>
      </c>
      <c r="F4" s="13">
        <f>ROUND((D4-C4)/C4,4)</f>
        <v>3.85E-2</v>
      </c>
      <c r="G4" s="12" t="s">
        <v>29</v>
      </c>
      <c r="H4" s="2">
        <v>666.8</v>
      </c>
      <c r="I4" s="2">
        <v>53.24</v>
      </c>
      <c r="J4" s="2">
        <v>14.84</v>
      </c>
      <c r="L4" s="2">
        <f>ROUND(E4*0.05,2)</f>
        <v>1404</v>
      </c>
      <c r="N4" s="13">
        <v>8.3400000000000002E-2</v>
      </c>
      <c r="O4" s="2">
        <f t="shared" ref="O4:O7" si="0">ROUND(E4*N4,2)</f>
        <v>2341.87</v>
      </c>
    </row>
    <row r="5" spans="1:15" x14ac:dyDescent="0.3">
      <c r="A5" t="s">
        <v>30</v>
      </c>
      <c r="B5" s="2">
        <v>40</v>
      </c>
      <c r="C5" s="2">
        <v>20.100000000000001</v>
      </c>
      <c r="D5" s="3">
        <v>21.8</v>
      </c>
      <c r="E5" s="2">
        <f>ROUND(B5*D5,2)*52</f>
        <v>45344</v>
      </c>
      <c r="F5" s="13">
        <f t="shared" ref="F5:F7" si="1">ROUND((D5-C5)/C5,4)</f>
        <v>8.4599999999999995E-2</v>
      </c>
      <c r="G5" s="12" t="s">
        <v>29</v>
      </c>
      <c r="H5" s="2">
        <v>1733.68</v>
      </c>
      <c r="I5" s="2">
        <v>101.92</v>
      </c>
      <c r="J5" s="2">
        <v>20.83</v>
      </c>
      <c r="L5" s="2">
        <f>ROUND(E5*0.05,2)</f>
        <v>2267.1999999999998</v>
      </c>
      <c r="N5" s="13">
        <v>8.3400000000000002E-2</v>
      </c>
      <c r="O5" s="2">
        <f t="shared" si="0"/>
        <v>3781.69</v>
      </c>
    </row>
    <row r="6" spans="1:15" x14ac:dyDescent="0.3">
      <c r="A6" t="s">
        <v>31</v>
      </c>
      <c r="B6" s="2">
        <v>40</v>
      </c>
      <c r="C6" s="2">
        <v>13</v>
      </c>
      <c r="D6" s="3">
        <v>13.85</v>
      </c>
      <c r="E6" s="2">
        <f t="shared" ref="E6" si="2">ROUND(B6*D6,2)*52</f>
        <v>28808</v>
      </c>
      <c r="F6" s="13">
        <f t="shared" si="1"/>
        <v>6.54E-2</v>
      </c>
      <c r="G6" s="12" t="s">
        <v>29</v>
      </c>
      <c r="H6" s="2">
        <v>666.8</v>
      </c>
      <c r="I6" s="2">
        <v>53.24</v>
      </c>
      <c r="J6" s="2">
        <v>14.84</v>
      </c>
      <c r="L6" s="2">
        <f>ROUND(E6*0.05,2)</f>
        <v>1440.4</v>
      </c>
      <c r="N6" s="13">
        <v>8.3400000000000002E-2</v>
      </c>
      <c r="O6" s="2">
        <f t="shared" si="0"/>
        <v>2402.59</v>
      </c>
    </row>
    <row r="7" spans="1:15" x14ac:dyDescent="0.3">
      <c r="A7" t="s">
        <v>32</v>
      </c>
      <c r="B7" s="2">
        <v>40</v>
      </c>
      <c r="C7" s="14">
        <v>13</v>
      </c>
      <c r="D7" s="15">
        <v>14.5</v>
      </c>
      <c r="E7" s="2">
        <f>ROUND(B7*D7,2)*52</f>
        <v>30160</v>
      </c>
      <c r="F7" s="13">
        <f t="shared" si="1"/>
        <v>0.1154</v>
      </c>
      <c r="G7" s="12" t="s">
        <v>29</v>
      </c>
      <c r="H7" s="2">
        <v>1333.6</v>
      </c>
      <c r="I7" s="2">
        <v>101.92</v>
      </c>
      <c r="J7" s="2">
        <v>20.83</v>
      </c>
      <c r="L7" s="2">
        <f>ROUND(E7*0.05,2)</f>
        <v>1508</v>
      </c>
      <c r="N7" s="13">
        <v>5.1999999999999998E-2</v>
      </c>
      <c r="O7" s="2">
        <f t="shared" si="0"/>
        <v>1568.32</v>
      </c>
    </row>
    <row r="8" spans="1:15" ht="15" thickBot="1" x14ac:dyDescent="0.35">
      <c r="E8" s="16">
        <f>SUM(E3:E7)</f>
        <v>228716.79999999999</v>
      </c>
      <c r="G8" t="s">
        <v>33</v>
      </c>
      <c r="H8" s="17">
        <f>SUM(H3:H7)</f>
        <v>5096.8500000000004</v>
      </c>
      <c r="I8" s="17">
        <f t="shared" ref="I8:J8" si="3">SUM(I3:I7)</f>
        <v>363.56</v>
      </c>
      <c r="J8" s="17">
        <f t="shared" si="3"/>
        <v>86.179999999999993</v>
      </c>
      <c r="L8" s="16">
        <f>SUM(L3:L7)</f>
        <v>14325.58</v>
      </c>
      <c r="O8" s="16">
        <f>SUM(O3:O7)</f>
        <v>18127.96</v>
      </c>
    </row>
    <row r="9" spans="1:15" ht="15.6" thickTop="1" thickBot="1" x14ac:dyDescent="0.35">
      <c r="E9" s="2"/>
      <c r="G9" t="s">
        <v>18</v>
      </c>
      <c r="H9" s="17">
        <f>ROUND(H8*12,0)</f>
        <v>61162</v>
      </c>
      <c r="I9" s="17">
        <f t="shared" ref="I9:J9" si="4">ROUND(I8*12,0)</f>
        <v>4363</v>
      </c>
      <c r="J9" s="17">
        <f t="shared" si="4"/>
        <v>1034</v>
      </c>
      <c r="K9" s="18">
        <f>SUM(H9:J9)</f>
        <v>66559</v>
      </c>
    </row>
    <row r="10" spans="1:15" ht="15" thickTop="1" x14ac:dyDescent="0.3">
      <c r="E10" s="2"/>
      <c r="K10" t="s">
        <v>34</v>
      </c>
      <c r="L10" s="2">
        <v>9500</v>
      </c>
      <c r="N10" s="13">
        <v>0.06</v>
      </c>
      <c r="O10" s="2">
        <f>L10*N10</f>
        <v>570</v>
      </c>
    </row>
    <row r="11" spans="1:15" x14ac:dyDescent="0.3">
      <c r="A11" t="s">
        <v>35</v>
      </c>
      <c r="E11" s="2"/>
      <c r="H11" s="2" t="s">
        <v>36</v>
      </c>
      <c r="J11" s="2">
        <f>SUM(E8)</f>
        <v>228716.79999999999</v>
      </c>
    </row>
    <row r="12" spans="1:15" ht="15" thickBot="1" x14ac:dyDescent="0.35">
      <c r="A12" t="s">
        <v>37</v>
      </c>
      <c r="H12" s="2" t="s">
        <v>38</v>
      </c>
      <c r="O12" s="16">
        <f>SUM(O8:O10)</f>
        <v>18697.96</v>
      </c>
    </row>
    <row r="13" spans="1:15" ht="15.6" thickTop="1" thickBot="1" x14ac:dyDescent="0.35">
      <c r="A13" s="19" t="s">
        <v>62</v>
      </c>
      <c r="F13" s="5" t="s">
        <v>39</v>
      </c>
      <c r="H13" s="2" t="s">
        <v>40</v>
      </c>
      <c r="J13" s="16">
        <f>SUM(J11:J12)</f>
        <v>228716.79999999999</v>
      </c>
      <c r="N13" s="13" t="s">
        <v>41</v>
      </c>
    </row>
    <row r="14" spans="1:15" ht="15" thickTop="1" x14ac:dyDescent="0.3">
      <c r="A14" t="s">
        <v>44</v>
      </c>
      <c r="B14" s="2" t="s">
        <v>45</v>
      </c>
      <c r="C14" s="2" t="s">
        <v>46</v>
      </c>
      <c r="N14" s="13" t="s">
        <v>43</v>
      </c>
    </row>
    <row r="15" spans="1:15" x14ac:dyDescent="0.3">
      <c r="A15" t="str">
        <f>A3</f>
        <v>Cindi Beaudet</v>
      </c>
      <c r="B15" s="2">
        <v>2000</v>
      </c>
      <c r="C15" s="2">
        <f>B15*1.27</f>
        <v>2540</v>
      </c>
      <c r="N15" s="13" t="s">
        <v>47</v>
      </c>
      <c r="O15" s="2">
        <f>-2018.79-311-724.67</f>
        <v>-3054.46</v>
      </c>
    </row>
    <row r="16" spans="1:15" ht="15" thickBot="1" x14ac:dyDescent="0.35">
      <c r="A16" t="str">
        <f t="shared" ref="A16:A19" si="5">A4</f>
        <v>Kyle Means</v>
      </c>
      <c r="B16" s="2">
        <v>200</v>
      </c>
      <c r="C16" s="2">
        <f t="shared" ref="C16:C19" si="6">B16*1.27</f>
        <v>254</v>
      </c>
      <c r="N16" s="20" t="s">
        <v>48</v>
      </c>
      <c r="O16" s="16">
        <f>O12+O15</f>
        <v>15643.5</v>
      </c>
    </row>
    <row r="17" spans="1:15" ht="15" thickTop="1" x14ac:dyDescent="0.3">
      <c r="A17" t="str">
        <f t="shared" si="5"/>
        <v>Joseph Sands</v>
      </c>
      <c r="B17" s="2">
        <v>700</v>
      </c>
      <c r="C17" s="2">
        <f t="shared" si="6"/>
        <v>889</v>
      </c>
    </row>
    <row r="18" spans="1:15" x14ac:dyDescent="0.3">
      <c r="A18" t="str">
        <f t="shared" si="5"/>
        <v>Jarren Skaife</v>
      </c>
      <c r="B18" s="2">
        <v>200</v>
      </c>
      <c r="C18" s="2">
        <f t="shared" si="6"/>
        <v>254</v>
      </c>
      <c r="H18" s="2" t="s">
        <v>63</v>
      </c>
      <c r="I18" s="2" t="s">
        <v>64</v>
      </c>
      <c r="L18"/>
    </row>
    <row r="19" spans="1:15" ht="15" thickBot="1" x14ac:dyDescent="0.35">
      <c r="A19" t="str">
        <f t="shared" si="5"/>
        <v>Michelle Hesselgesser</v>
      </c>
      <c r="B19" s="2">
        <v>200</v>
      </c>
      <c r="C19" s="2">
        <f t="shared" si="6"/>
        <v>254</v>
      </c>
      <c r="H19" s="2">
        <v>141</v>
      </c>
      <c r="I19" s="2">
        <v>106</v>
      </c>
      <c r="L19"/>
    </row>
    <row r="20" spans="1:15" x14ac:dyDescent="0.3">
      <c r="B20" s="25">
        <f>SUM(B15:B19)</f>
        <v>3300</v>
      </c>
      <c r="C20" s="25">
        <f>SUM(C15:C19)</f>
        <v>4191</v>
      </c>
      <c r="H20"/>
      <c r="L20" s="21" t="s">
        <v>51</v>
      </c>
      <c r="M20" s="22"/>
      <c r="N20" s="23"/>
      <c r="O20" s="24">
        <f>ROUND((E8+L10)*0.062,2)</f>
        <v>14769.44</v>
      </c>
    </row>
    <row r="21" spans="1:15" ht="15" thickBot="1" x14ac:dyDescent="0.35">
      <c r="H21"/>
      <c r="L21" s="26" t="s">
        <v>52</v>
      </c>
      <c r="M21" s="27"/>
      <c r="N21" s="28"/>
      <c r="O21" s="29">
        <f>ROUND((E8+L10)*0.0145,2)</f>
        <v>3454.14</v>
      </c>
    </row>
    <row r="22" spans="1:15" x14ac:dyDescent="0.3">
      <c r="L22"/>
    </row>
    <row r="23" spans="1:15" x14ac:dyDescent="0.3">
      <c r="L23"/>
    </row>
    <row r="24" spans="1:15" x14ac:dyDescent="0.3">
      <c r="L24"/>
    </row>
    <row r="25" spans="1:15" x14ac:dyDescent="0.3">
      <c r="A25" t="s">
        <v>55</v>
      </c>
      <c r="B25" s="2">
        <v>150</v>
      </c>
      <c r="L25"/>
    </row>
    <row r="26" spans="1:15" x14ac:dyDescent="0.3">
      <c r="A26" t="s">
        <v>56</v>
      </c>
      <c r="B26" s="2">
        <f>B25*4</f>
        <v>600</v>
      </c>
    </row>
    <row r="27" spans="1:15" x14ac:dyDescent="0.3">
      <c r="A27" t="s">
        <v>57</v>
      </c>
      <c r="B27" s="2">
        <f>B26*5</f>
        <v>3000</v>
      </c>
    </row>
    <row r="29" spans="1:15" x14ac:dyDescent="0.3">
      <c r="A29" t="s">
        <v>58</v>
      </c>
      <c r="B29" s="2">
        <f>B27*12</f>
        <v>36000</v>
      </c>
    </row>
    <row r="31" spans="1:15" x14ac:dyDescent="0.3">
      <c r="A31" t="s">
        <v>59</v>
      </c>
      <c r="B31" s="2">
        <f>B25*5*12</f>
        <v>9000</v>
      </c>
    </row>
    <row r="32" spans="1:15" x14ac:dyDescent="0.3">
      <c r="A32" t="s">
        <v>60</v>
      </c>
      <c r="B32" s="2">
        <f>B25*5*5</f>
        <v>3750</v>
      </c>
    </row>
    <row r="33" spans="1:2" x14ac:dyDescent="0.3">
      <c r="A33" t="s">
        <v>61</v>
      </c>
      <c r="B33" s="2">
        <f>B25*5*3</f>
        <v>2250</v>
      </c>
    </row>
    <row r="34" spans="1:2" ht="15" thickBot="1" x14ac:dyDescent="0.35">
      <c r="B34" s="16">
        <f>SUM(B31:B33)</f>
        <v>15000</v>
      </c>
    </row>
    <row r="35" spans="1:2" ht="15" thickTop="1" x14ac:dyDescent="0.3"/>
  </sheetData>
  <pageMargins left="0.7" right="0.7" top="0.75" bottom="0.75" header="0.3" footer="0.3"/>
  <pageSetup scale="62" orientation="landscape" horizontalDpi="0"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B015C-06C5-4B68-82ED-A9E8E44331C7}">
  <sheetPr>
    <pageSetUpPr fitToPage="1"/>
  </sheetPr>
  <dimension ref="A1:O28"/>
  <sheetViews>
    <sheetView workbookViewId="0">
      <selection activeCell="D33" sqref="D33"/>
    </sheetView>
  </sheetViews>
  <sheetFormatPr defaultRowHeight="14.4" x14ac:dyDescent="0.3"/>
  <cols>
    <col min="1" max="1" width="33.6640625" bestFit="1" customWidth="1"/>
    <col min="2" max="3" width="9.5546875" style="2" bestFit="1" customWidth="1"/>
    <col min="4" max="4" width="11.5546875" style="2" bestFit="1" customWidth="1"/>
    <col min="5" max="5" width="11.5546875" bestFit="1" customWidth="1"/>
    <col min="6" max="6" width="9.109375" style="5"/>
    <col min="7" max="7" width="9.5546875" customWidth="1"/>
    <col min="8" max="8" width="10.44140625" style="2" customWidth="1"/>
    <col min="9" max="10" width="11.5546875" style="2" bestFit="1" customWidth="1"/>
    <col min="11" max="11" width="10.5546875" bestFit="1" customWidth="1"/>
    <col min="12" max="12" width="10.109375" style="2" bestFit="1" customWidth="1"/>
    <col min="14" max="14" width="9.109375" style="13"/>
    <col min="15" max="15" width="12.6640625" style="2" customWidth="1"/>
  </cols>
  <sheetData>
    <row r="1" spans="1:15" x14ac:dyDescent="0.3">
      <c r="A1" t="s">
        <v>12</v>
      </c>
    </row>
    <row r="2" spans="1:15" ht="43.2" x14ac:dyDescent="0.3">
      <c r="B2" s="7" t="s">
        <v>15</v>
      </c>
      <c r="C2" s="7" t="s">
        <v>16</v>
      </c>
      <c r="D2" s="7" t="s">
        <v>17</v>
      </c>
      <c r="E2" s="7" t="s">
        <v>18</v>
      </c>
      <c r="F2" s="8" t="s">
        <v>19</v>
      </c>
      <c r="H2" s="9" t="s">
        <v>20</v>
      </c>
      <c r="I2" s="9" t="s">
        <v>21</v>
      </c>
      <c r="J2" s="9" t="s">
        <v>22</v>
      </c>
      <c r="L2" s="9" t="s">
        <v>23</v>
      </c>
      <c r="N2" s="31" t="s">
        <v>24</v>
      </c>
      <c r="O2" s="2" t="s">
        <v>25</v>
      </c>
    </row>
    <row r="3" spans="1:15" x14ac:dyDescent="0.3">
      <c r="A3" t="s">
        <v>26</v>
      </c>
      <c r="B3" s="2">
        <v>40</v>
      </c>
      <c r="C3" s="2">
        <v>39.700000000000003</v>
      </c>
      <c r="D3" s="2">
        <f>ROUND(C3*F3+C3,2)</f>
        <v>42.88</v>
      </c>
      <c r="E3" s="2">
        <f>D3*2080</f>
        <v>89190.400000000009</v>
      </c>
      <c r="F3" s="11">
        <v>0.08</v>
      </c>
      <c r="G3" s="2"/>
      <c r="H3" s="2">
        <v>778.45</v>
      </c>
      <c r="I3" s="2">
        <v>53.24</v>
      </c>
      <c r="J3" s="2">
        <v>14.84</v>
      </c>
      <c r="L3" s="2">
        <f>ROUND(E3*0.08,2)</f>
        <v>7135.23</v>
      </c>
      <c r="N3" s="13">
        <v>9.06E-2</v>
      </c>
      <c r="O3" s="2">
        <f>ROUND(E3*N3,2)</f>
        <v>8080.65</v>
      </c>
    </row>
    <row r="4" spans="1:15" x14ac:dyDescent="0.3">
      <c r="A4" t="s">
        <v>65</v>
      </c>
      <c r="B4" s="2">
        <v>40</v>
      </c>
      <c r="C4" s="2">
        <v>15.5</v>
      </c>
      <c r="D4" s="3">
        <v>14.95</v>
      </c>
      <c r="E4" s="2">
        <f>ROUND(B4*D4,2)*52</f>
        <v>31096</v>
      </c>
      <c r="F4" s="13">
        <f>ROUND((D4-C4)/C4,4)</f>
        <v>-3.5499999999999997E-2</v>
      </c>
      <c r="H4" s="2">
        <v>1556.9</v>
      </c>
      <c r="I4" s="2">
        <v>101.92</v>
      </c>
      <c r="J4" s="2">
        <v>20.83</v>
      </c>
      <c r="L4" s="2">
        <f>ROUND(E4*0.05,2)</f>
        <v>1554.8</v>
      </c>
      <c r="N4" s="13">
        <v>9.06E-2</v>
      </c>
      <c r="O4" s="2">
        <f t="shared" ref="O4:O7" si="0">ROUND(E4*N4,2)</f>
        <v>2817.3</v>
      </c>
    </row>
    <row r="5" spans="1:15" x14ac:dyDescent="0.3">
      <c r="A5" t="s">
        <v>30</v>
      </c>
      <c r="B5" s="2">
        <v>40</v>
      </c>
      <c r="C5" s="2">
        <v>18.5</v>
      </c>
      <c r="D5" s="3">
        <v>20.100000000000001</v>
      </c>
      <c r="E5" s="2">
        <f>ROUND(B5*D5,2)*52</f>
        <v>41808</v>
      </c>
      <c r="F5" s="13">
        <f t="shared" ref="F5:F7" si="1">ROUND((D5-C5)/C5,4)</f>
        <v>8.6499999999999994E-2</v>
      </c>
      <c r="G5" s="2"/>
      <c r="H5" s="2">
        <v>1558.8</v>
      </c>
      <c r="I5" s="2">
        <v>101.92</v>
      </c>
      <c r="J5" s="2">
        <v>20.83</v>
      </c>
      <c r="L5" s="2">
        <f>ROUND(E5*0.05,2)</f>
        <v>2090.4</v>
      </c>
      <c r="N5" s="13">
        <v>9.06E-2</v>
      </c>
      <c r="O5" s="2">
        <f t="shared" si="0"/>
        <v>3787.8</v>
      </c>
    </row>
    <row r="6" spans="1:15" x14ac:dyDescent="0.3">
      <c r="A6" t="s">
        <v>31</v>
      </c>
      <c r="B6" s="2">
        <v>40</v>
      </c>
      <c r="C6" s="2">
        <v>12.7</v>
      </c>
      <c r="D6" s="3">
        <v>13</v>
      </c>
      <c r="E6" s="2">
        <f t="shared" ref="E6" si="2">ROUND(B6*D6,2)*52</f>
        <v>27040</v>
      </c>
      <c r="F6" s="13">
        <f t="shared" si="1"/>
        <v>2.3599999999999999E-2</v>
      </c>
      <c r="G6" s="2"/>
      <c r="H6" s="2">
        <v>778.45</v>
      </c>
      <c r="I6" s="2">
        <v>53.24</v>
      </c>
      <c r="J6" s="2">
        <v>14.84</v>
      </c>
      <c r="L6" s="2">
        <f>ROUND(E6*0.05,2)</f>
        <v>1352</v>
      </c>
      <c r="N6" s="13">
        <v>9.06E-2</v>
      </c>
      <c r="O6" s="2">
        <f t="shared" si="0"/>
        <v>2449.8200000000002</v>
      </c>
    </row>
    <row r="7" spans="1:15" x14ac:dyDescent="0.3">
      <c r="B7" s="2">
        <v>40</v>
      </c>
      <c r="C7" s="14">
        <v>13</v>
      </c>
      <c r="D7" s="15">
        <v>13</v>
      </c>
      <c r="E7" s="2">
        <f>ROUND(B7*D7,2)*52</f>
        <v>27040</v>
      </c>
      <c r="F7" s="13">
        <f t="shared" si="1"/>
        <v>0</v>
      </c>
      <c r="G7" s="2"/>
      <c r="H7" s="2">
        <v>1556.9</v>
      </c>
      <c r="I7" s="2">
        <v>101.92</v>
      </c>
      <c r="J7" s="2">
        <v>20.83</v>
      </c>
      <c r="L7" s="2">
        <f>ROUND(E7*0.05,2)</f>
        <v>1352</v>
      </c>
      <c r="N7" s="13">
        <v>5.7000000000000002E-3</v>
      </c>
      <c r="O7" s="2">
        <f t="shared" si="0"/>
        <v>154.13</v>
      </c>
    </row>
    <row r="8" spans="1:15" ht="15" thickBot="1" x14ac:dyDescent="0.35">
      <c r="E8" s="16">
        <f>SUM(E3:E7)</f>
        <v>216174.40000000002</v>
      </c>
      <c r="G8" t="s">
        <v>33</v>
      </c>
      <c r="H8" s="17">
        <f>SUM(H3:H7)</f>
        <v>6229.5</v>
      </c>
      <c r="I8" s="17">
        <f t="shared" ref="I8:J8" si="3">SUM(I3:I7)</f>
        <v>412.24</v>
      </c>
      <c r="J8" s="17">
        <f t="shared" si="3"/>
        <v>92.17</v>
      </c>
      <c r="L8" s="16">
        <f>SUM(L3:L7)</f>
        <v>13484.429999999998</v>
      </c>
      <c r="O8" s="16">
        <f>SUM(O3:O7)</f>
        <v>17289.7</v>
      </c>
    </row>
    <row r="9" spans="1:15" ht="15.6" thickTop="1" thickBot="1" x14ac:dyDescent="0.35">
      <c r="E9" s="2"/>
      <c r="G9" t="s">
        <v>18</v>
      </c>
      <c r="H9" s="17">
        <f>ROUND(H8*12,0)</f>
        <v>74754</v>
      </c>
      <c r="I9" s="17">
        <f t="shared" ref="I9:J9" si="4">ROUND(I8*12,0)</f>
        <v>4947</v>
      </c>
      <c r="J9" s="17">
        <f t="shared" si="4"/>
        <v>1106</v>
      </c>
      <c r="K9" s="18">
        <f>SUM(H9:J9)</f>
        <v>80807</v>
      </c>
    </row>
    <row r="10" spans="1:15" ht="15" thickTop="1" x14ac:dyDescent="0.3">
      <c r="E10" s="2"/>
      <c r="K10" t="s">
        <v>34</v>
      </c>
      <c r="L10" s="2">
        <v>9500</v>
      </c>
      <c r="N10" s="32">
        <v>6.4999999999999997E-3</v>
      </c>
      <c r="O10" s="2">
        <f>L10*N10</f>
        <v>61.75</v>
      </c>
    </row>
    <row r="11" spans="1:15" x14ac:dyDescent="0.3">
      <c r="A11" t="s">
        <v>35</v>
      </c>
      <c r="E11" s="2"/>
      <c r="H11" s="2" t="s">
        <v>36</v>
      </c>
      <c r="J11" s="2">
        <f>SUM(E8)</f>
        <v>216174.40000000002</v>
      </c>
    </row>
    <row r="12" spans="1:15" ht="15" thickBot="1" x14ac:dyDescent="0.35">
      <c r="A12" t="s">
        <v>37</v>
      </c>
      <c r="H12" s="2" t="s">
        <v>38</v>
      </c>
      <c r="O12" s="16">
        <f>SUM(O8:O10)</f>
        <v>17351.45</v>
      </c>
    </row>
    <row r="13" spans="1:15" ht="15.6" thickTop="1" thickBot="1" x14ac:dyDescent="0.35">
      <c r="F13" s="5" t="s">
        <v>39</v>
      </c>
      <c r="H13" s="2" t="s">
        <v>40</v>
      </c>
      <c r="J13" s="16">
        <f>SUM(J11:J12)</f>
        <v>216174.40000000002</v>
      </c>
      <c r="N13" s="13" t="s">
        <v>41</v>
      </c>
    </row>
    <row r="14" spans="1:15" ht="15" thickTop="1" x14ac:dyDescent="0.3">
      <c r="A14" t="s">
        <v>44</v>
      </c>
      <c r="B14" s="2" t="s">
        <v>45</v>
      </c>
      <c r="C14" s="2" t="s">
        <v>46</v>
      </c>
      <c r="N14" s="13" t="s">
        <v>43</v>
      </c>
    </row>
    <row r="15" spans="1:15" x14ac:dyDescent="0.3">
      <c r="A15" t="str">
        <f>A3</f>
        <v>Cindi Beaudet</v>
      </c>
      <c r="B15" s="2">
        <v>1700</v>
      </c>
      <c r="C15" s="2">
        <f>B15*1.27</f>
        <v>2159</v>
      </c>
    </row>
    <row r="16" spans="1:15" x14ac:dyDescent="0.3">
      <c r="A16" t="str">
        <f t="shared" ref="A16:A19" si="5">A4</f>
        <v>Ricky Eufers</v>
      </c>
      <c r="B16" s="2">
        <v>0</v>
      </c>
      <c r="C16" s="2">
        <f t="shared" ref="C16:C19" si="6">B16*1.27</f>
        <v>0</v>
      </c>
      <c r="N16" s="13">
        <v>6.4999999999999997E-3</v>
      </c>
      <c r="O16" s="2" t="s">
        <v>66</v>
      </c>
    </row>
    <row r="17" spans="1:15" x14ac:dyDescent="0.3">
      <c r="A17" t="str">
        <f t="shared" si="5"/>
        <v>Joseph Sands</v>
      </c>
      <c r="B17" s="2">
        <v>500</v>
      </c>
      <c r="C17" s="2">
        <f t="shared" si="6"/>
        <v>635</v>
      </c>
      <c r="N17" s="13">
        <v>5.7000000000000002E-3</v>
      </c>
      <c r="O17" s="2" t="s">
        <v>67</v>
      </c>
    </row>
    <row r="18" spans="1:15" x14ac:dyDescent="0.3">
      <c r="A18" t="str">
        <f t="shared" si="5"/>
        <v>Jarren Skaife</v>
      </c>
      <c r="B18" s="2">
        <v>0</v>
      </c>
      <c r="C18" s="2">
        <f t="shared" si="6"/>
        <v>0</v>
      </c>
      <c r="L18"/>
      <c r="N18" s="13">
        <v>9.06E-2</v>
      </c>
      <c r="O18" s="2" t="s">
        <v>68</v>
      </c>
    </row>
    <row r="19" spans="1:15" x14ac:dyDescent="0.3">
      <c r="A19">
        <f t="shared" si="5"/>
        <v>0</v>
      </c>
      <c r="B19" s="2">
        <v>150</v>
      </c>
      <c r="C19" s="2">
        <f t="shared" si="6"/>
        <v>190.5</v>
      </c>
      <c r="L19"/>
    </row>
    <row r="20" spans="1:15" ht="15" thickBot="1" x14ac:dyDescent="0.35">
      <c r="B20" s="25">
        <f>SUM(B15:B19)</f>
        <v>2350</v>
      </c>
      <c r="C20" s="25">
        <f>SUM(C15:C19)</f>
        <v>2984.5</v>
      </c>
      <c r="L20" t="s">
        <v>51</v>
      </c>
      <c r="O20" s="2">
        <f>ROUND((E8+L10)*0.062,2)</f>
        <v>13991.81</v>
      </c>
    </row>
    <row r="21" spans="1:15" x14ac:dyDescent="0.3">
      <c r="A21" s="21" t="s">
        <v>69</v>
      </c>
      <c r="B21" s="33"/>
      <c r="C21" s="24"/>
      <c r="L21" t="s">
        <v>52</v>
      </c>
      <c r="O21" s="2">
        <f>ROUND((E8+L10)*0.0145,2)</f>
        <v>3272.28</v>
      </c>
    </row>
    <row r="22" spans="1:15" x14ac:dyDescent="0.3">
      <c r="A22" s="34" t="s">
        <v>44</v>
      </c>
      <c r="B22" s="35" t="s">
        <v>45</v>
      </c>
      <c r="C22" s="36" t="s">
        <v>46</v>
      </c>
      <c r="L22"/>
    </row>
    <row r="23" spans="1:15" x14ac:dyDescent="0.3">
      <c r="A23" s="34" t="s">
        <v>26</v>
      </c>
      <c r="B23" s="37">
        <v>1800</v>
      </c>
      <c r="C23" s="36">
        <f>B23*1.27</f>
        <v>2286</v>
      </c>
      <c r="L23"/>
    </row>
    <row r="24" spans="1:15" x14ac:dyDescent="0.3">
      <c r="A24" s="34" t="s">
        <v>65</v>
      </c>
      <c r="B24" s="35">
        <v>0</v>
      </c>
      <c r="C24" s="36">
        <f t="shared" ref="C24:C27" si="7">B24*1.27</f>
        <v>0</v>
      </c>
      <c r="L24"/>
    </row>
    <row r="25" spans="1:15" x14ac:dyDescent="0.3">
      <c r="A25" s="34" t="s">
        <v>30</v>
      </c>
      <c r="B25" s="35">
        <v>600</v>
      </c>
      <c r="C25" s="36">
        <f t="shared" si="7"/>
        <v>762</v>
      </c>
      <c r="L25"/>
    </row>
    <row r="26" spans="1:15" x14ac:dyDescent="0.3">
      <c r="A26" s="34" t="s">
        <v>31</v>
      </c>
      <c r="B26" s="37">
        <v>150</v>
      </c>
      <c r="C26" s="36">
        <f t="shared" si="7"/>
        <v>190.5</v>
      </c>
    </row>
    <row r="27" spans="1:15" x14ac:dyDescent="0.3">
      <c r="A27" s="34" t="s">
        <v>32</v>
      </c>
      <c r="B27" s="35">
        <v>200</v>
      </c>
      <c r="C27" s="36">
        <f t="shared" si="7"/>
        <v>254</v>
      </c>
    </row>
    <row r="28" spans="1:15" ht="15" thickBot="1" x14ac:dyDescent="0.35">
      <c r="A28" s="26"/>
      <c r="B28" s="38">
        <f>SUM(B23:B27)</f>
        <v>2750</v>
      </c>
      <c r="C28" s="39">
        <f>SUM(C23:C27)</f>
        <v>3492.5</v>
      </c>
    </row>
  </sheetData>
  <pageMargins left="0.7" right="0.7" top="0.75" bottom="0.75" header="0.3" footer="0.3"/>
  <pageSetup scale="62" orientation="landscape"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9630D-1B08-4B62-AE39-A83FF1EC166B}">
  <dimension ref="A1"/>
  <sheetViews>
    <sheetView workbookViewId="0"/>
  </sheetViews>
  <sheetFormatPr defaultRowHeight="14.4" x14ac:dyDescent="0.3"/>
  <sheetData/>
  <pageMargins left="0.7" right="0.7" top="0.75" bottom="0.75" header="0.3" footer="0.3"/>
  <pageSetup orientation="portrait" horizontalDpi="0"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AF877-D476-4F41-81D6-0F7661AB22EF}">
  <dimension ref="A1"/>
  <sheetViews>
    <sheetView topLeftCell="A10" workbookViewId="0">
      <selection activeCell="K124" sqref="K124:K125"/>
    </sheetView>
  </sheetViews>
  <sheetFormatPr defaultRowHeight="14.4" x14ac:dyDescent="0.3"/>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E4315-DCC9-445C-8700-5017B9EA0A40}">
  <sheetPr codeName="Sheet9"/>
  <dimension ref="A1:AL185"/>
  <sheetViews>
    <sheetView workbookViewId="0">
      <pane xSplit="7" ySplit="1" topLeftCell="W157" activePane="bottomRight" state="frozenSplit"/>
      <selection pane="topRight" activeCell="H1" sqref="H1"/>
      <selection pane="bottomLeft" activeCell="A2" sqref="A2"/>
      <selection pane="bottomRight" activeCell="Y162" sqref="Y162:AL162"/>
    </sheetView>
  </sheetViews>
  <sheetFormatPr defaultRowHeight="14.4" x14ac:dyDescent="0.3"/>
  <cols>
    <col min="1" max="6" width="3" style="56" customWidth="1"/>
    <col min="7" max="7" width="30.5546875" style="56" customWidth="1"/>
    <col min="8" max="8" width="7.88671875" hidden="1" customWidth="1"/>
    <col min="9" max="12" width="8.44140625" hidden="1" customWidth="1"/>
    <col min="13" max="14" width="8.6640625" hidden="1" customWidth="1"/>
    <col min="15" max="15" width="8.44140625" hidden="1" customWidth="1"/>
    <col min="16" max="16" width="9.33203125" hidden="1" customWidth="1"/>
    <col min="17" max="17" width="7.88671875" hidden="1" customWidth="1"/>
    <col min="18" max="19" width="8.6640625" hidden="1" customWidth="1"/>
    <col min="20" max="20" width="8.33203125" hidden="1" customWidth="1"/>
    <col min="21" max="22" width="10" hidden="1" customWidth="1"/>
    <col min="23" max="23" width="10" bestFit="1" customWidth="1"/>
    <col min="24" max="24" width="45.6640625" style="68" customWidth="1"/>
    <col min="25" max="37" width="10" bestFit="1" customWidth="1"/>
  </cols>
  <sheetData>
    <row r="1" spans="1:37" s="65" customFormat="1" ht="33.75" customHeight="1" thickBot="1" x14ac:dyDescent="0.25">
      <c r="A1" s="63"/>
      <c r="B1" s="63"/>
      <c r="C1" s="63"/>
      <c r="D1" s="63"/>
      <c r="E1" s="63"/>
      <c r="F1" s="63"/>
      <c r="G1" s="63"/>
      <c r="H1" s="64" t="s">
        <v>266</v>
      </c>
      <c r="I1" s="64" t="s">
        <v>267</v>
      </c>
      <c r="J1" s="64" t="s">
        <v>268</v>
      </c>
      <c r="K1" s="64" t="s">
        <v>269</v>
      </c>
      <c r="L1" s="64" t="s">
        <v>270</v>
      </c>
      <c r="M1" s="64" t="s">
        <v>271</v>
      </c>
      <c r="N1" s="64" t="s">
        <v>272</v>
      </c>
      <c r="O1" s="64" t="s">
        <v>273</v>
      </c>
      <c r="P1" s="64" t="s">
        <v>274</v>
      </c>
      <c r="Q1" s="64" t="s">
        <v>294</v>
      </c>
      <c r="R1" s="64" t="s">
        <v>306</v>
      </c>
      <c r="S1" s="64" t="s">
        <v>282</v>
      </c>
      <c r="T1" s="64"/>
      <c r="U1" s="64" t="s">
        <v>314</v>
      </c>
      <c r="V1" s="64" t="s">
        <v>308</v>
      </c>
      <c r="W1" s="64" t="s">
        <v>284</v>
      </c>
      <c r="X1" s="68"/>
      <c r="Y1" s="64" t="s">
        <v>315</v>
      </c>
      <c r="Z1" s="64" t="s">
        <v>316</v>
      </c>
      <c r="AA1" s="64" t="s">
        <v>317</v>
      </c>
      <c r="AB1" s="64" t="s">
        <v>318</v>
      </c>
      <c r="AC1" s="64" t="s">
        <v>319</v>
      </c>
      <c r="AD1" s="64" t="s">
        <v>320</v>
      </c>
      <c r="AE1" s="64" t="s">
        <v>321</v>
      </c>
      <c r="AF1" s="64" t="s">
        <v>322</v>
      </c>
      <c r="AG1" s="64" t="s">
        <v>323</v>
      </c>
      <c r="AH1" s="64" t="s">
        <v>324</v>
      </c>
      <c r="AI1" s="64" t="s">
        <v>325</v>
      </c>
      <c r="AJ1" s="64" t="s">
        <v>326</v>
      </c>
      <c r="AK1" s="64" t="s">
        <v>327</v>
      </c>
    </row>
    <row r="2" spans="1:37" ht="15" thickTop="1" x14ac:dyDescent="0.3">
      <c r="A2" s="50"/>
      <c r="B2" s="50" t="s">
        <v>1</v>
      </c>
      <c r="C2" s="50"/>
      <c r="D2" s="50"/>
      <c r="E2" s="50"/>
      <c r="F2" s="50"/>
      <c r="G2" s="50"/>
      <c r="H2" s="51"/>
      <c r="I2" s="51"/>
      <c r="J2" s="51"/>
      <c r="K2" s="51"/>
      <c r="L2" s="51"/>
      <c r="M2" s="51"/>
      <c r="N2" s="51"/>
      <c r="O2" s="51"/>
      <c r="P2" s="51"/>
      <c r="Q2" s="51"/>
      <c r="R2" s="51"/>
      <c r="S2" s="51"/>
      <c r="T2" s="51"/>
      <c r="U2" s="51"/>
      <c r="V2" s="51"/>
      <c r="W2" s="51"/>
      <c r="Y2" s="117" t="s">
        <v>328</v>
      </c>
      <c r="Z2" s="117"/>
      <c r="AA2" s="51"/>
      <c r="AB2" s="51"/>
      <c r="AC2" s="51"/>
      <c r="AD2" s="51"/>
      <c r="AE2" s="51"/>
      <c r="AF2" s="51"/>
      <c r="AG2" s="51"/>
      <c r="AH2" s="51"/>
      <c r="AI2" s="51"/>
      <c r="AJ2" s="51"/>
      <c r="AK2" s="51"/>
    </row>
    <row r="3" spans="1:37" x14ac:dyDescent="0.3">
      <c r="A3" s="50"/>
      <c r="B3" s="50"/>
      <c r="C3" s="50"/>
      <c r="D3" s="50" t="s">
        <v>2</v>
      </c>
      <c r="E3" s="50"/>
      <c r="F3" s="50"/>
      <c r="G3" s="50"/>
      <c r="H3" s="51"/>
      <c r="I3" s="51"/>
      <c r="J3" s="51"/>
      <c r="K3" s="51"/>
      <c r="L3" s="51"/>
      <c r="M3" s="51"/>
      <c r="N3" s="51"/>
      <c r="O3" s="51"/>
      <c r="P3" s="51"/>
      <c r="Q3" s="51"/>
      <c r="R3" s="51"/>
      <c r="S3" s="51"/>
      <c r="T3" s="51"/>
      <c r="U3" s="51"/>
      <c r="V3" s="51"/>
      <c r="W3" s="51"/>
      <c r="Y3" s="51"/>
      <c r="Z3" s="51"/>
      <c r="AA3" s="51"/>
      <c r="AB3" s="51"/>
      <c r="AC3" s="51"/>
      <c r="AD3" s="51"/>
      <c r="AE3" s="51"/>
      <c r="AF3" s="51"/>
      <c r="AG3" s="51"/>
      <c r="AH3" s="51"/>
      <c r="AI3" s="51"/>
      <c r="AJ3" s="51"/>
      <c r="AK3" s="51"/>
    </row>
    <row r="4" spans="1:37" x14ac:dyDescent="0.3">
      <c r="A4" s="50"/>
      <c r="B4" s="50"/>
      <c r="C4" s="50"/>
      <c r="D4" s="50"/>
      <c r="E4" s="50" t="s">
        <v>74</v>
      </c>
      <c r="F4" s="50"/>
      <c r="G4" s="50"/>
      <c r="H4" s="51"/>
      <c r="I4" s="51"/>
      <c r="J4" s="51"/>
      <c r="K4" s="51"/>
      <c r="L4" s="51"/>
      <c r="M4" s="51"/>
      <c r="N4" s="51"/>
      <c r="O4" s="51"/>
      <c r="P4" s="51"/>
      <c r="Q4" s="51"/>
      <c r="R4" s="51"/>
      <c r="S4" s="51"/>
      <c r="T4" s="51"/>
      <c r="U4" s="51"/>
      <c r="V4" s="51"/>
      <c r="W4" s="51"/>
      <c r="Y4" s="51"/>
      <c r="Z4" s="51"/>
      <c r="AA4" s="51"/>
      <c r="AB4" s="51"/>
      <c r="AC4" s="51"/>
      <c r="AD4" s="51"/>
      <c r="AE4" s="51"/>
      <c r="AF4" s="51"/>
      <c r="AG4" s="51"/>
      <c r="AH4" s="51"/>
      <c r="AI4" s="51"/>
      <c r="AJ4" s="51"/>
      <c r="AK4" s="51"/>
    </row>
    <row r="5" spans="1:37" x14ac:dyDescent="0.3">
      <c r="A5" s="50"/>
      <c r="B5" s="50"/>
      <c r="C5" s="50"/>
      <c r="D5" s="50"/>
      <c r="E5" s="50"/>
      <c r="F5" s="50" t="s">
        <v>75</v>
      </c>
      <c r="G5" s="50"/>
      <c r="H5" s="51">
        <v>0</v>
      </c>
      <c r="I5" s="51">
        <v>0</v>
      </c>
      <c r="J5" s="51">
        <v>0</v>
      </c>
      <c r="K5" s="51">
        <v>10434.290000000001</v>
      </c>
      <c r="L5" s="51">
        <v>-1558.69</v>
      </c>
      <c r="M5" s="51">
        <v>207958.45</v>
      </c>
      <c r="N5" s="51">
        <v>168614.58</v>
      </c>
      <c r="O5" s="51">
        <v>0</v>
      </c>
      <c r="P5" s="51">
        <v>0</v>
      </c>
      <c r="Q5" s="51">
        <v>69317.960000000006</v>
      </c>
      <c r="R5" s="51">
        <v>207662.09</v>
      </c>
      <c r="S5" s="51">
        <v>16877</v>
      </c>
      <c r="T5" s="51"/>
      <c r="U5" s="51">
        <f t="shared" ref="U5:U15" si="0">ROUND(SUM(H5:T5),5)</f>
        <v>679305.68</v>
      </c>
      <c r="V5" s="67">
        <v>663000</v>
      </c>
      <c r="W5" s="67">
        <f>663000-766800+800000</f>
        <v>696200</v>
      </c>
      <c r="Y5" s="118">
        <f>ROUND($W5*0,0)</f>
        <v>0</v>
      </c>
      <c r="Z5" s="118">
        <f t="shared" ref="Z5:AG5" si="1">ROUND($W5*0,0)</f>
        <v>0</v>
      </c>
      <c r="AA5" s="118">
        <f t="shared" si="1"/>
        <v>0</v>
      </c>
      <c r="AB5" s="118">
        <f t="shared" si="1"/>
        <v>0</v>
      </c>
      <c r="AC5" s="118">
        <f t="shared" si="1"/>
        <v>0</v>
      </c>
      <c r="AD5" s="118">
        <f>ROUND($W5*0.32,0)</f>
        <v>222784</v>
      </c>
      <c r="AE5" s="118">
        <f>ROUND($W5*0.25,0)</f>
        <v>174050</v>
      </c>
      <c r="AF5" s="118">
        <f t="shared" si="1"/>
        <v>0</v>
      </c>
      <c r="AG5" s="118">
        <f t="shared" si="1"/>
        <v>0</v>
      </c>
      <c r="AH5" s="118">
        <f>ROUND($W5*0.1,0)</f>
        <v>69620</v>
      </c>
      <c r="AI5" s="118">
        <f>ROUND($W5*0.32,0)</f>
        <v>222784</v>
      </c>
      <c r="AJ5" s="118">
        <f>W5-Y5-Z5-AA5-AB5-AC5-AD5-AE5-AF5-AG5-AH5-AI5</f>
        <v>6962</v>
      </c>
      <c r="AK5" s="118">
        <f>SUM(Y5:AJ5)-W5</f>
        <v>0</v>
      </c>
    </row>
    <row r="6" spans="1:37" x14ac:dyDescent="0.3">
      <c r="A6" s="50"/>
      <c r="B6" s="50"/>
      <c r="C6" s="50"/>
      <c r="D6" s="50"/>
      <c r="E6" s="50"/>
      <c r="F6" s="50" t="s">
        <v>76</v>
      </c>
      <c r="G6" s="50"/>
      <c r="H6" s="51">
        <v>0</v>
      </c>
      <c r="I6" s="51">
        <v>2255.1999999999998</v>
      </c>
      <c r="J6" s="51">
        <v>0</v>
      </c>
      <c r="K6" s="51">
        <v>28316.05</v>
      </c>
      <c r="L6" s="51">
        <v>0</v>
      </c>
      <c r="M6" s="51">
        <v>0</v>
      </c>
      <c r="N6" s="51">
        <v>0</v>
      </c>
      <c r="O6" s="51">
        <v>0</v>
      </c>
      <c r="P6" s="51">
        <v>4147.16</v>
      </c>
      <c r="Q6" s="51">
        <v>0</v>
      </c>
      <c r="R6" s="51">
        <v>0</v>
      </c>
      <c r="S6" s="51">
        <v>2000</v>
      </c>
      <c r="T6" s="51"/>
      <c r="U6" s="51">
        <f t="shared" si="0"/>
        <v>36718.410000000003</v>
      </c>
      <c r="V6" s="67">
        <v>25000</v>
      </c>
      <c r="W6" s="67">
        <v>25000</v>
      </c>
      <c r="Y6" s="118">
        <v>0</v>
      </c>
      <c r="Z6" s="118">
        <v>0</v>
      </c>
      <c r="AA6" s="118">
        <v>0</v>
      </c>
      <c r="AB6" s="118">
        <f>ROUND($W6*1,0)</f>
        <v>25000</v>
      </c>
      <c r="AC6" s="118">
        <v>0</v>
      </c>
      <c r="AD6" s="118">
        <v>0</v>
      </c>
      <c r="AE6" s="118">
        <v>0</v>
      </c>
      <c r="AF6" s="118">
        <v>0</v>
      </c>
      <c r="AG6" s="118">
        <v>0</v>
      </c>
      <c r="AH6" s="118">
        <v>0</v>
      </c>
      <c r="AI6" s="118">
        <v>0</v>
      </c>
      <c r="AJ6" s="118">
        <f t="shared" ref="AJ6:AJ14" si="2">W6-Y6-Z6-AA6-AB6-AC6-AD6-AE6-AF6-AG6-AH6-AI6</f>
        <v>0</v>
      </c>
      <c r="AK6" s="118">
        <f t="shared" ref="AK6:AK14" si="3">SUM(Y6:AJ6)-W6</f>
        <v>0</v>
      </c>
    </row>
    <row r="7" spans="1:37" x14ac:dyDescent="0.3">
      <c r="A7" s="50"/>
      <c r="B7" s="50"/>
      <c r="C7" s="50"/>
      <c r="D7" s="50"/>
      <c r="E7" s="50"/>
      <c r="F7" s="50" t="s">
        <v>275</v>
      </c>
      <c r="G7" s="50"/>
      <c r="H7" s="51">
        <v>0</v>
      </c>
      <c r="I7" s="51">
        <v>-965.01</v>
      </c>
      <c r="J7" s="51">
        <v>0</v>
      </c>
      <c r="K7" s="51">
        <v>0</v>
      </c>
      <c r="L7" s="51">
        <v>0</v>
      </c>
      <c r="M7" s="51">
        <v>0</v>
      </c>
      <c r="N7" s="51">
        <v>0</v>
      </c>
      <c r="O7" s="51">
        <v>0</v>
      </c>
      <c r="P7" s="51">
        <v>0</v>
      </c>
      <c r="Q7" s="51">
        <v>0</v>
      </c>
      <c r="R7" s="51">
        <v>0</v>
      </c>
      <c r="S7" s="51">
        <v>0</v>
      </c>
      <c r="T7" s="51"/>
      <c r="U7" s="51">
        <f t="shared" si="0"/>
        <v>-965.01</v>
      </c>
      <c r="V7" s="51">
        <v>0</v>
      </c>
      <c r="W7" s="51">
        <v>0</v>
      </c>
      <c r="Y7" s="117">
        <v>0</v>
      </c>
      <c r="Z7" s="117">
        <v>0</v>
      </c>
      <c r="AA7" s="117">
        <v>0</v>
      </c>
      <c r="AB7" s="117">
        <v>0</v>
      </c>
      <c r="AC7" s="117">
        <v>0</v>
      </c>
      <c r="AD7" s="117">
        <v>0</v>
      </c>
      <c r="AE7" s="117">
        <v>0</v>
      </c>
      <c r="AF7" s="117">
        <v>0</v>
      </c>
      <c r="AG7" s="117">
        <v>0</v>
      </c>
      <c r="AH7" s="117">
        <v>0</v>
      </c>
      <c r="AI7" s="117">
        <v>0</v>
      </c>
      <c r="AJ7" s="117">
        <f t="shared" si="2"/>
        <v>0</v>
      </c>
      <c r="AK7" s="117">
        <f t="shared" si="3"/>
        <v>0</v>
      </c>
    </row>
    <row r="8" spans="1:37" x14ac:dyDescent="0.3">
      <c r="A8" s="50"/>
      <c r="B8" s="50"/>
      <c r="C8" s="50"/>
      <c r="D8" s="50"/>
      <c r="E8" s="50"/>
      <c r="F8" s="50" t="s">
        <v>77</v>
      </c>
      <c r="G8" s="50"/>
      <c r="H8" s="51">
        <v>0</v>
      </c>
      <c r="I8" s="51">
        <v>0</v>
      </c>
      <c r="J8" s="51">
        <v>0</v>
      </c>
      <c r="K8" s="51">
        <v>0</v>
      </c>
      <c r="L8" s="51">
        <v>0</v>
      </c>
      <c r="M8" s="51">
        <v>0</v>
      </c>
      <c r="N8" s="51">
        <v>0</v>
      </c>
      <c r="O8" s="51">
        <v>0</v>
      </c>
      <c r="P8" s="51">
        <v>0</v>
      </c>
      <c r="Q8" s="51">
        <v>0</v>
      </c>
      <c r="R8" s="51">
        <v>0</v>
      </c>
      <c r="S8" s="51">
        <v>3049</v>
      </c>
      <c r="T8" s="51"/>
      <c r="U8" s="51">
        <f t="shared" si="0"/>
        <v>3049</v>
      </c>
      <c r="V8" s="67">
        <v>9600</v>
      </c>
      <c r="W8" s="67">
        <v>9600</v>
      </c>
      <c r="Y8" s="118">
        <v>0</v>
      </c>
      <c r="Z8" s="118">
        <v>0</v>
      </c>
      <c r="AA8" s="118">
        <v>0</v>
      </c>
      <c r="AB8" s="118">
        <v>0</v>
      </c>
      <c r="AC8" s="118">
        <v>0</v>
      </c>
      <c r="AD8" s="118">
        <v>0</v>
      </c>
      <c r="AE8" s="118">
        <v>0</v>
      </c>
      <c r="AF8" s="118">
        <v>0</v>
      </c>
      <c r="AG8" s="118">
        <v>0</v>
      </c>
      <c r="AH8" s="118">
        <v>0</v>
      </c>
      <c r="AI8" s="118">
        <v>0</v>
      </c>
      <c r="AJ8" s="118">
        <f t="shared" si="2"/>
        <v>9600</v>
      </c>
      <c r="AK8" s="118">
        <f t="shared" si="3"/>
        <v>0</v>
      </c>
    </row>
    <row r="9" spans="1:37" x14ac:dyDescent="0.3">
      <c r="A9" s="50"/>
      <c r="B9" s="50"/>
      <c r="C9" s="50"/>
      <c r="D9" s="50"/>
      <c r="E9" s="50"/>
      <c r="F9" s="50" t="s">
        <v>78</v>
      </c>
      <c r="G9" s="50"/>
      <c r="H9" s="51">
        <v>0</v>
      </c>
      <c r="I9" s="51">
        <v>511.88</v>
      </c>
      <c r="J9" s="51">
        <v>0</v>
      </c>
      <c r="K9" s="51">
        <v>0</v>
      </c>
      <c r="L9" s="51">
        <v>0</v>
      </c>
      <c r="M9" s="51">
        <v>0</v>
      </c>
      <c r="N9" s="51">
        <v>0</v>
      </c>
      <c r="O9" s="51">
        <v>8608.42</v>
      </c>
      <c r="P9" s="51">
        <v>1439.07</v>
      </c>
      <c r="Q9" s="51">
        <v>0</v>
      </c>
      <c r="R9" s="51">
        <v>0</v>
      </c>
      <c r="S9" s="51">
        <v>0</v>
      </c>
      <c r="T9" s="51"/>
      <c r="U9" s="51">
        <f t="shared" si="0"/>
        <v>10559.37</v>
      </c>
      <c r="V9" s="67">
        <v>4500</v>
      </c>
      <c r="W9" s="67">
        <v>4500</v>
      </c>
      <c r="Y9" s="118">
        <v>0</v>
      </c>
      <c r="Z9" s="118">
        <v>0</v>
      </c>
      <c r="AA9" s="118">
        <v>0</v>
      </c>
      <c r="AB9" s="118">
        <v>0</v>
      </c>
      <c r="AC9" s="118">
        <v>0</v>
      </c>
      <c r="AD9" s="118">
        <v>0</v>
      </c>
      <c r="AE9" s="118">
        <v>0</v>
      </c>
      <c r="AF9" s="118">
        <v>0</v>
      </c>
      <c r="AG9" s="118">
        <v>0</v>
      </c>
      <c r="AH9" s="118">
        <v>0</v>
      </c>
      <c r="AI9" s="118">
        <v>0</v>
      </c>
      <c r="AJ9" s="118">
        <f t="shared" si="2"/>
        <v>4500</v>
      </c>
      <c r="AK9" s="118">
        <f t="shared" si="3"/>
        <v>0</v>
      </c>
    </row>
    <row r="10" spans="1:37" x14ac:dyDescent="0.3">
      <c r="A10" s="50"/>
      <c r="B10" s="50"/>
      <c r="C10" s="50"/>
      <c r="D10" s="50"/>
      <c r="E10" s="50"/>
      <c r="F10" s="50" t="s">
        <v>79</v>
      </c>
      <c r="G10" s="50"/>
      <c r="H10" s="51">
        <v>0</v>
      </c>
      <c r="I10" s="51">
        <v>0</v>
      </c>
      <c r="J10" s="51">
        <v>0</v>
      </c>
      <c r="K10" s="51">
        <v>0</v>
      </c>
      <c r="L10" s="51">
        <v>0</v>
      </c>
      <c r="M10" s="51">
        <v>0</v>
      </c>
      <c r="N10" s="51">
        <v>0</v>
      </c>
      <c r="O10" s="51">
        <v>0</v>
      </c>
      <c r="P10" s="51">
        <v>0</v>
      </c>
      <c r="Q10" s="51">
        <v>0</v>
      </c>
      <c r="R10" s="51">
        <v>0</v>
      </c>
      <c r="S10" s="51">
        <v>-4890</v>
      </c>
      <c r="T10" s="51"/>
      <c r="U10" s="51">
        <f t="shared" si="0"/>
        <v>-4890</v>
      </c>
      <c r="V10" s="67">
        <v>10000</v>
      </c>
      <c r="W10" s="67">
        <v>10000</v>
      </c>
      <c r="Y10" s="118">
        <v>0</v>
      </c>
      <c r="Z10" s="118">
        <v>0</v>
      </c>
      <c r="AA10" s="118">
        <v>0</v>
      </c>
      <c r="AB10" s="118">
        <v>0</v>
      </c>
      <c r="AC10" s="118">
        <v>0</v>
      </c>
      <c r="AD10" s="118">
        <v>0</v>
      </c>
      <c r="AE10" s="118">
        <v>0</v>
      </c>
      <c r="AF10" s="118">
        <v>0</v>
      </c>
      <c r="AG10" s="118">
        <v>0</v>
      </c>
      <c r="AH10" s="118">
        <v>0</v>
      </c>
      <c r="AI10" s="118">
        <v>0</v>
      </c>
      <c r="AJ10" s="118">
        <f t="shared" si="2"/>
        <v>10000</v>
      </c>
      <c r="AK10" s="118">
        <f t="shared" si="3"/>
        <v>0</v>
      </c>
    </row>
    <row r="11" spans="1:37" x14ac:dyDescent="0.3">
      <c r="A11" s="50"/>
      <c r="B11" s="50"/>
      <c r="C11" s="50"/>
      <c r="D11" s="50"/>
      <c r="E11" s="50"/>
      <c r="F11" s="50" t="s">
        <v>80</v>
      </c>
      <c r="G11" s="50"/>
      <c r="H11" s="51">
        <v>0</v>
      </c>
      <c r="I11" s="51">
        <v>0</v>
      </c>
      <c r="J11" s="51">
        <v>0</v>
      </c>
      <c r="K11" s="51">
        <v>0</v>
      </c>
      <c r="L11" s="51">
        <v>0</v>
      </c>
      <c r="M11" s="51">
        <v>48208.65</v>
      </c>
      <c r="N11" s="51">
        <v>0</v>
      </c>
      <c r="O11" s="51">
        <v>0</v>
      </c>
      <c r="P11" s="51">
        <v>0</v>
      </c>
      <c r="Q11" s="51">
        <v>0</v>
      </c>
      <c r="R11" s="51">
        <v>49655.95</v>
      </c>
      <c r="S11" s="51">
        <v>0</v>
      </c>
      <c r="T11" s="51"/>
      <c r="U11" s="51">
        <f t="shared" si="0"/>
        <v>97864.6</v>
      </c>
      <c r="V11" s="67">
        <v>40000</v>
      </c>
      <c r="W11" s="67">
        <v>40000</v>
      </c>
      <c r="Y11" s="118">
        <v>0</v>
      </c>
      <c r="Z11" s="118">
        <v>0</v>
      </c>
      <c r="AA11" s="118">
        <v>0</v>
      </c>
      <c r="AB11" s="118">
        <v>0</v>
      </c>
      <c r="AC11" s="118">
        <v>0</v>
      </c>
      <c r="AD11" s="118">
        <f>ROUND($W11*0.5,0)</f>
        <v>20000</v>
      </c>
      <c r="AE11" s="118">
        <v>0</v>
      </c>
      <c r="AF11" s="118">
        <v>0</v>
      </c>
      <c r="AG11" s="118">
        <v>0</v>
      </c>
      <c r="AH11" s="118">
        <v>0</v>
      </c>
      <c r="AI11" s="118">
        <v>0</v>
      </c>
      <c r="AJ11" s="118">
        <f t="shared" si="2"/>
        <v>20000</v>
      </c>
      <c r="AK11" s="118">
        <f t="shared" si="3"/>
        <v>0</v>
      </c>
    </row>
    <row r="12" spans="1:37" x14ac:dyDescent="0.3">
      <c r="A12" s="50"/>
      <c r="B12" s="50"/>
      <c r="C12" s="50"/>
      <c r="D12" s="50"/>
      <c r="E12" s="50"/>
      <c r="F12" s="50" t="s">
        <v>81</v>
      </c>
      <c r="G12" s="50"/>
      <c r="H12" s="51">
        <v>0</v>
      </c>
      <c r="I12" s="51">
        <v>0</v>
      </c>
      <c r="J12" s="51">
        <v>0</v>
      </c>
      <c r="K12" s="51">
        <v>0</v>
      </c>
      <c r="L12" s="51">
        <v>0</v>
      </c>
      <c r="M12" s="51">
        <v>934.92</v>
      </c>
      <c r="N12" s="51">
        <v>2181.48</v>
      </c>
      <c r="O12" s="51">
        <v>0</v>
      </c>
      <c r="P12" s="51">
        <v>0</v>
      </c>
      <c r="Q12" s="51">
        <v>0</v>
      </c>
      <c r="R12" s="51">
        <v>2181.67</v>
      </c>
      <c r="S12" s="51">
        <v>4023.37</v>
      </c>
      <c r="T12" s="51"/>
      <c r="U12" s="51">
        <f t="shared" si="0"/>
        <v>9321.44</v>
      </c>
      <c r="V12" s="67">
        <v>4000</v>
      </c>
      <c r="W12" s="67">
        <v>4000</v>
      </c>
      <c r="Y12" s="118">
        <v>0</v>
      </c>
      <c r="Z12" s="118">
        <v>0</v>
      </c>
      <c r="AA12" s="118">
        <v>0</v>
      </c>
      <c r="AB12" s="118">
        <v>0</v>
      </c>
      <c r="AC12" s="118">
        <v>0</v>
      </c>
      <c r="AD12" s="118">
        <v>0</v>
      </c>
      <c r="AE12" s="118">
        <v>0</v>
      </c>
      <c r="AF12" s="118">
        <v>0</v>
      </c>
      <c r="AG12" s="118">
        <v>0</v>
      </c>
      <c r="AH12" s="118">
        <v>0</v>
      </c>
      <c r="AI12" s="118">
        <v>0</v>
      </c>
      <c r="AJ12" s="118">
        <f t="shared" si="2"/>
        <v>4000</v>
      </c>
      <c r="AK12" s="118">
        <f t="shared" si="3"/>
        <v>0</v>
      </c>
    </row>
    <row r="13" spans="1:37" x14ac:dyDescent="0.3">
      <c r="A13" s="50"/>
      <c r="B13" s="50"/>
      <c r="C13" s="50"/>
      <c r="D13" s="50"/>
      <c r="E13" s="50"/>
      <c r="F13" s="50" t="s">
        <v>82</v>
      </c>
      <c r="G13" s="50"/>
      <c r="H13" s="51">
        <v>0</v>
      </c>
      <c r="I13" s="51">
        <v>-0.37</v>
      </c>
      <c r="J13" s="51">
        <v>0</v>
      </c>
      <c r="K13" s="51">
        <v>0</v>
      </c>
      <c r="L13" s="51">
        <v>0</v>
      </c>
      <c r="M13" s="51">
        <v>0</v>
      </c>
      <c r="N13" s="51">
        <v>0</v>
      </c>
      <c r="O13" s="51">
        <v>5630.34</v>
      </c>
      <c r="P13" s="51">
        <v>0</v>
      </c>
      <c r="Q13" s="51">
        <v>0</v>
      </c>
      <c r="R13" s="51">
        <v>5460.53</v>
      </c>
      <c r="S13" s="51">
        <v>0</v>
      </c>
      <c r="T13" s="51"/>
      <c r="U13" s="51">
        <f t="shared" si="0"/>
        <v>11090.5</v>
      </c>
      <c r="V13" s="67">
        <v>10500</v>
      </c>
      <c r="W13" s="67">
        <v>10500</v>
      </c>
      <c r="Y13" s="118">
        <v>0</v>
      </c>
      <c r="Z13" s="118">
        <v>0</v>
      </c>
      <c r="AA13" s="118">
        <v>0</v>
      </c>
      <c r="AB13" s="118">
        <v>0</v>
      </c>
      <c r="AC13" s="118">
        <v>0</v>
      </c>
      <c r="AD13" s="118">
        <v>0</v>
      </c>
      <c r="AE13" s="118">
        <v>0</v>
      </c>
      <c r="AF13" s="118">
        <v>0</v>
      </c>
      <c r="AG13" s="118">
        <v>0</v>
      </c>
      <c r="AH13" s="118">
        <v>0</v>
      </c>
      <c r="AI13" s="118">
        <v>0</v>
      </c>
      <c r="AJ13" s="118">
        <f t="shared" si="2"/>
        <v>10500</v>
      </c>
      <c r="AK13" s="118">
        <f t="shared" si="3"/>
        <v>0</v>
      </c>
    </row>
    <row r="14" spans="1:37" ht="15" thickBot="1" x14ac:dyDescent="0.35">
      <c r="A14" s="50"/>
      <c r="B14" s="50"/>
      <c r="C14" s="50"/>
      <c r="D14" s="50"/>
      <c r="E14" s="50"/>
      <c r="F14" s="50" t="s">
        <v>83</v>
      </c>
      <c r="G14" s="50"/>
      <c r="H14" s="52">
        <v>0</v>
      </c>
      <c r="I14" s="52">
        <v>0</v>
      </c>
      <c r="J14" s="52">
        <v>0</v>
      </c>
      <c r="K14" s="52">
        <v>0</v>
      </c>
      <c r="L14" s="52">
        <v>0</v>
      </c>
      <c r="M14" s="52">
        <v>0</v>
      </c>
      <c r="N14" s="52">
        <v>0</v>
      </c>
      <c r="O14" s="52">
        <v>115.4</v>
      </c>
      <c r="P14" s="52">
        <v>0</v>
      </c>
      <c r="Q14" s="52">
        <v>0</v>
      </c>
      <c r="R14" s="52">
        <v>0</v>
      </c>
      <c r="S14" s="52">
        <v>-115.63</v>
      </c>
      <c r="T14" s="52"/>
      <c r="U14" s="52">
        <f t="shared" si="0"/>
        <v>-0.23</v>
      </c>
      <c r="V14" s="69">
        <v>200</v>
      </c>
      <c r="W14" s="69">
        <v>200</v>
      </c>
      <c r="Y14" s="119">
        <v>0</v>
      </c>
      <c r="Z14" s="119">
        <v>0</v>
      </c>
      <c r="AA14" s="119">
        <v>0</v>
      </c>
      <c r="AB14" s="119">
        <v>0</v>
      </c>
      <c r="AC14" s="119">
        <v>0</v>
      </c>
      <c r="AD14" s="119">
        <v>0</v>
      </c>
      <c r="AE14" s="119">
        <v>0</v>
      </c>
      <c r="AF14" s="119">
        <v>0</v>
      </c>
      <c r="AG14" s="119">
        <v>0</v>
      </c>
      <c r="AH14" s="119">
        <v>0</v>
      </c>
      <c r="AI14" s="119">
        <v>0</v>
      </c>
      <c r="AJ14" s="119">
        <f t="shared" si="2"/>
        <v>200</v>
      </c>
      <c r="AK14" s="119">
        <f t="shared" si="3"/>
        <v>0</v>
      </c>
    </row>
    <row r="15" spans="1:37" x14ac:dyDescent="0.3">
      <c r="A15" s="50"/>
      <c r="B15" s="50"/>
      <c r="C15" s="50"/>
      <c r="D15" s="50"/>
      <c r="E15" s="50" t="s">
        <v>84</v>
      </c>
      <c r="F15" s="50"/>
      <c r="G15" s="50"/>
      <c r="H15" s="51">
        <f t="shared" ref="H15:P15" si="4">ROUND(SUM(H4:H14),5)</f>
        <v>0</v>
      </c>
      <c r="I15" s="51">
        <f t="shared" si="4"/>
        <v>1801.7</v>
      </c>
      <c r="J15" s="51">
        <f t="shared" si="4"/>
        <v>0</v>
      </c>
      <c r="K15" s="51">
        <f t="shared" si="4"/>
        <v>38750.339999999997</v>
      </c>
      <c r="L15" s="51">
        <f t="shared" si="4"/>
        <v>-1558.69</v>
      </c>
      <c r="M15" s="51">
        <f t="shared" si="4"/>
        <v>257102.02</v>
      </c>
      <c r="N15" s="51">
        <f t="shared" si="4"/>
        <v>170796.06</v>
      </c>
      <c r="O15" s="51">
        <f t="shared" si="4"/>
        <v>14354.16</v>
      </c>
      <c r="P15" s="51">
        <f t="shared" si="4"/>
        <v>5586.23</v>
      </c>
      <c r="Q15" s="51">
        <f>ROUND(SUM(Q4:Q14),5)</f>
        <v>69317.960000000006</v>
      </c>
      <c r="R15" s="51">
        <f>ROUND(SUM(R4:R14),5)</f>
        <v>264960.24</v>
      </c>
      <c r="S15" s="51">
        <f>ROUND(SUM(S4:S14),5)</f>
        <v>20943.740000000002</v>
      </c>
      <c r="T15" s="51"/>
      <c r="U15" s="51">
        <f t="shared" si="0"/>
        <v>842053.76</v>
      </c>
      <c r="V15" s="51">
        <f>ROUND(SUM(V4:V14),5)</f>
        <v>766800</v>
      </c>
      <c r="W15" s="51">
        <f>ROUND(SUM(W4:W14),5)</f>
        <v>800000</v>
      </c>
      <c r="X15" s="68" t="s">
        <v>304</v>
      </c>
      <c r="Y15" s="51"/>
      <c r="Z15" s="51"/>
      <c r="AA15" s="51"/>
      <c r="AB15" s="51"/>
      <c r="AC15" s="51"/>
      <c r="AD15" s="51"/>
      <c r="AE15" s="51"/>
      <c r="AF15" s="51"/>
      <c r="AG15" s="51"/>
      <c r="AH15" s="51"/>
      <c r="AI15" s="51"/>
      <c r="AJ15" s="51"/>
      <c r="AK15" s="51"/>
    </row>
    <row r="16" spans="1:37" x14ac:dyDescent="0.3">
      <c r="A16" s="50"/>
      <c r="B16" s="50"/>
      <c r="C16" s="50"/>
      <c r="D16" s="50"/>
      <c r="E16" s="50" t="s">
        <v>85</v>
      </c>
      <c r="F16" s="50"/>
      <c r="G16" s="50"/>
      <c r="H16" s="51"/>
      <c r="I16" s="51"/>
      <c r="J16" s="51"/>
      <c r="K16" s="51"/>
      <c r="L16" s="51"/>
      <c r="M16" s="51"/>
      <c r="N16" s="51"/>
      <c r="O16" s="51"/>
      <c r="P16" s="51"/>
      <c r="Q16" s="51"/>
      <c r="R16" s="51"/>
      <c r="S16" s="51"/>
      <c r="T16" s="51"/>
      <c r="U16" s="51"/>
      <c r="V16" s="51"/>
      <c r="W16" s="51"/>
      <c r="Y16" s="51"/>
      <c r="Z16" s="51"/>
      <c r="AA16" s="51"/>
      <c r="AB16" s="51"/>
      <c r="AC16" s="51"/>
      <c r="AD16" s="51"/>
      <c r="AE16" s="51"/>
      <c r="AF16" s="51"/>
      <c r="AG16" s="51"/>
      <c r="AH16" s="51"/>
      <c r="AI16" s="51"/>
      <c r="AJ16" s="51"/>
      <c r="AK16" s="51"/>
    </row>
    <row r="17" spans="1:37" x14ac:dyDescent="0.3">
      <c r="A17" s="50"/>
      <c r="B17" s="50"/>
      <c r="C17" s="50"/>
      <c r="D17" s="50"/>
      <c r="E17" s="50"/>
      <c r="F17" s="50" t="s">
        <v>86</v>
      </c>
      <c r="G17" s="50"/>
      <c r="H17" s="51">
        <v>518.41</v>
      </c>
      <c r="I17" s="51">
        <v>535.54999999999995</v>
      </c>
      <c r="J17" s="51">
        <v>500.23</v>
      </c>
      <c r="K17" s="51">
        <v>420.94</v>
      </c>
      <c r="L17" s="51">
        <v>405.16</v>
      </c>
      <c r="M17" s="51">
        <v>400.79</v>
      </c>
      <c r="N17" s="51">
        <v>586.54</v>
      </c>
      <c r="O17" s="51">
        <v>488.6</v>
      </c>
      <c r="P17" s="51">
        <v>447.88</v>
      </c>
      <c r="Q17" s="51">
        <v>638.1</v>
      </c>
      <c r="R17" s="51">
        <v>748.83</v>
      </c>
      <c r="S17" s="51">
        <v>432.04</v>
      </c>
      <c r="T17" s="51"/>
      <c r="U17" s="51">
        <f t="shared" ref="U17:U22" si="5">ROUND(SUM(H17:T17),5)</f>
        <v>6123.07</v>
      </c>
      <c r="V17" s="67">
        <v>10000</v>
      </c>
      <c r="W17" s="67">
        <v>5000</v>
      </c>
      <c r="X17" s="68" t="s">
        <v>292</v>
      </c>
      <c r="Y17" s="67">
        <f t="shared" ref="Y17:AI39" si="6">ROUND($W17/12,0)</f>
        <v>417</v>
      </c>
      <c r="Z17" s="67">
        <f t="shared" si="6"/>
        <v>417</v>
      </c>
      <c r="AA17" s="67">
        <f t="shared" si="6"/>
        <v>417</v>
      </c>
      <c r="AB17" s="67">
        <f t="shared" si="6"/>
        <v>417</v>
      </c>
      <c r="AC17" s="67">
        <f t="shared" si="6"/>
        <v>417</v>
      </c>
      <c r="AD17" s="67">
        <f t="shared" si="6"/>
        <v>417</v>
      </c>
      <c r="AE17" s="67">
        <f t="shared" si="6"/>
        <v>417</v>
      </c>
      <c r="AF17" s="67">
        <f t="shared" si="6"/>
        <v>417</v>
      </c>
      <c r="AG17" s="67">
        <f t="shared" si="6"/>
        <v>417</v>
      </c>
      <c r="AH17" s="67">
        <f t="shared" si="6"/>
        <v>417</v>
      </c>
      <c r="AI17" s="67">
        <f t="shared" si="6"/>
        <v>417</v>
      </c>
      <c r="AJ17" s="67">
        <f t="shared" ref="AJ17:AJ21" si="7">W17-Y17-Z17-AA17-AB17-AC17-AD17-AE17-AF17-AG17-AH17-AI17</f>
        <v>413</v>
      </c>
      <c r="AK17" s="67">
        <f t="shared" ref="AK17:AK21" si="8">SUM(Y17:AJ17)-W17</f>
        <v>0</v>
      </c>
    </row>
    <row r="18" spans="1:37" x14ac:dyDescent="0.3">
      <c r="A18" s="50"/>
      <c r="B18" s="50"/>
      <c r="C18" s="50"/>
      <c r="D18" s="50"/>
      <c r="E18" s="50"/>
      <c r="F18" s="50" t="s">
        <v>87</v>
      </c>
      <c r="G18" s="50"/>
      <c r="H18" s="51">
        <v>16526.73</v>
      </c>
      <c r="I18" s="51">
        <v>5579.79</v>
      </c>
      <c r="J18" s="51">
        <v>5481.74</v>
      </c>
      <c r="K18" s="51">
        <v>5047.42</v>
      </c>
      <c r="L18" s="51">
        <v>6660.43</v>
      </c>
      <c r="M18" s="51">
        <v>5928.96</v>
      </c>
      <c r="N18" s="51">
        <v>5063.93</v>
      </c>
      <c r="O18" s="51">
        <v>6238.12</v>
      </c>
      <c r="P18" s="51">
        <v>8630.35</v>
      </c>
      <c r="Q18" s="51">
        <v>3905.15</v>
      </c>
      <c r="R18" s="51">
        <v>7105.54</v>
      </c>
      <c r="S18" s="51">
        <v>0</v>
      </c>
      <c r="T18" s="51"/>
      <c r="U18" s="51">
        <f t="shared" si="5"/>
        <v>76168.160000000003</v>
      </c>
      <c r="V18" s="67">
        <v>50000</v>
      </c>
      <c r="W18" s="67">
        <f>70000-1100</f>
        <v>68900</v>
      </c>
      <c r="X18" s="68" t="s">
        <v>293</v>
      </c>
      <c r="Y18" s="67">
        <f t="shared" si="6"/>
        <v>5742</v>
      </c>
      <c r="Z18" s="67">
        <f t="shared" si="6"/>
        <v>5742</v>
      </c>
      <c r="AA18" s="67">
        <f t="shared" si="6"/>
        <v>5742</v>
      </c>
      <c r="AB18" s="67">
        <f t="shared" si="6"/>
        <v>5742</v>
      </c>
      <c r="AC18" s="67">
        <f t="shared" si="6"/>
        <v>5742</v>
      </c>
      <c r="AD18" s="67">
        <f t="shared" si="6"/>
        <v>5742</v>
      </c>
      <c r="AE18" s="67">
        <f t="shared" si="6"/>
        <v>5742</v>
      </c>
      <c r="AF18" s="67">
        <f t="shared" si="6"/>
        <v>5742</v>
      </c>
      <c r="AG18" s="67">
        <f t="shared" si="6"/>
        <v>5742</v>
      </c>
      <c r="AH18" s="67">
        <f t="shared" si="6"/>
        <v>5742</v>
      </c>
      <c r="AI18" s="67">
        <f t="shared" si="6"/>
        <v>5742</v>
      </c>
      <c r="AJ18" s="67">
        <f t="shared" si="7"/>
        <v>5738</v>
      </c>
      <c r="AK18" s="67">
        <f t="shared" si="8"/>
        <v>0</v>
      </c>
    </row>
    <row r="19" spans="1:37" x14ac:dyDescent="0.3">
      <c r="A19" s="50"/>
      <c r="B19" s="50"/>
      <c r="C19" s="50"/>
      <c r="D19" s="50"/>
      <c r="E19" s="50"/>
      <c r="F19" s="50" t="s">
        <v>88</v>
      </c>
      <c r="G19" s="50"/>
      <c r="H19" s="51">
        <v>0</v>
      </c>
      <c r="I19" s="51">
        <v>0</v>
      </c>
      <c r="J19" s="51">
        <v>526.76</v>
      </c>
      <c r="K19" s="51">
        <v>95.47</v>
      </c>
      <c r="L19" s="51">
        <v>0</v>
      </c>
      <c r="M19" s="51">
        <v>432.49</v>
      </c>
      <c r="N19" s="51">
        <v>60.53</v>
      </c>
      <c r="O19" s="51">
        <v>0</v>
      </c>
      <c r="P19" s="51">
        <v>579.15</v>
      </c>
      <c r="Q19" s="51">
        <v>26.9</v>
      </c>
      <c r="R19" s="51">
        <v>0</v>
      </c>
      <c r="S19" s="51">
        <v>0</v>
      </c>
      <c r="T19" s="51"/>
      <c r="U19" s="51">
        <f t="shared" si="5"/>
        <v>1721.3</v>
      </c>
      <c r="V19" s="67">
        <v>10000</v>
      </c>
      <c r="W19" s="67">
        <v>5000</v>
      </c>
      <c r="Y19" s="118">
        <v>0</v>
      </c>
      <c r="Z19" s="118">
        <v>0</v>
      </c>
      <c r="AA19" s="118">
        <v>0</v>
      </c>
      <c r="AB19" s="118">
        <f>ROUND($W19/4,0)</f>
        <v>1250</v>
      </c>
      <c r="AC19" s="118">
        <v>0</v>
      </c>
      <c r="AD19" s="118">
        <v>0</v>
      </c>
      <c r="AE19" s="118">
        <f>ROUND($W19/4,0)</f>
        <v>1250</v>
      </c>
      <c r="AF19" s="118">
        <v>0</v>
      </c>
      <c r="AG19" s="118">
        <v>0</v>
      </c>
      <c r="AH19" s="118">
        <f>ROUND($W19/4,0)</f>
        <v>1250</v>
      </c>
      <c r="AI19" s="118">
        <v>0</v>
      </c>
      <c r="AJ19" s="118">
        <f t="shared" si="7"/>
        <v>1250</v>
      </c>
      <c r="AK19" s="118">
        <f t="shared" si="8"/>
        <v>0</v>
      </c>
    </row>
    <row r="20" spans="1:37" x14ac:dyDescent="0.3">
      <c r="A20" s="50"/>
      <c r="B20" s="50"/>
      <c r="C20" s="50"/>
      <c r="D20" s="50"/>
      <c r="E20" s="50"/>
      <c r="F20" s="50" t="s">
        <v>89</v>
      </c>
      <c r="G20" s="50"/>
      <c r="H20" s="51">
        <v>0</v>
      </c>
      <c r="I20" s="51">
        <v>0</v>
      </c>
      <c r="J20" s="51">
        <v>28.45</v>
      </c>
      <c r="K20" s="51">
        <v>5.08</v>
      </c>
      <c r="L20" s="51">
        <v>0</v>
      </c>
      <c r="M20" s="51">
        <v>23.02</v>
      </c>
      <c r="N20" s="51">
        <v>5.04</v>
      </c>
      <c r="O20" s="51">
        <v>0</v>
      </c>
      <c r="P20" s="51">
        <v>48.23</v>
      </c>
      <c r="Q20" s="51">
        <v>2.2000000000000002</v>
      </c>
      <c r="R20" s="51">
        <v>0</v>
      </c>
      <c r="S20" s="51">
        <v>0</v>
      </c>
      <c r="T20" s="51"/>
      <c r="U20" s="51">
        <f t="shared" si="5"/>
        <v>112.02</v>
      </c>
      <c r="V20" s="67">
        <v>1000</v>
      </c>
      <c r="W20" s="67">
        <v>100</v>
      </c>
      <c r="Y20" s="118">
        <v>0</v>
      </c>
      <c r="Z20" s="118">
        <v>0</v>
      </c>
      <c r="AA20" s="118">
        <v>0</v>
      </c>
      <c r="AB20" s="118">
        <f t="shared" ref="AB20:AB21" si="9">ROUND($W20/4,0)</f>
        <v>25</v>
      </c>
      <c r="AC20" s="118">
        <v>0</v>
      </c>
      <c r="AD20" s="118">
        <v>0</v>
      </c>
      <c r="AE20" s="118">
        <f t="shared" ref="AE20:AE21" si="10">ROUND($W20/4,0)</f>
        <v>25</v>
      </c>
      <c r="AF20" s="118">
        <v>0</v>
      </c>
      <c r="AG20" s="118">
        <v>0</v>
      </c>
      <c r="AH20" s="118">
        <f t="shared" ref="AH20:AH21" si="11">ROUND($W20/4,0)</f>
        <v>25</v>
      </c>
      <c r="AI20" s="118">
        <v>0</v>
      </c>
      <c r="AJ20" s="118">
        <f t="shared" si="7"/>
        <v>25</v>
      </c>
      <c r="AK20" s="118">
        <f t="shared" si="8"/>
        <v>0</v>
      </c>
    </row>
    <row r="21" spans="1:37" ht="15" thickBot="1" x14ac:dyDescent="0.35">
      <c r="A21" s="50"/>
      <c r="B21" s="50"/>
      <c r="C21" s="50"/>
      <c r="D21" s="50"/>
      <c r="E21" s="50"/>
      <c r="F21" s="50" t="s">
        <v>90</v>
      </c>
      <c r="G21" s="50"/>
      <c r="H21" s="52">
        <v>0</v>
      </c>
      <c r="I21" s="52">
        <v>0</v>
      </c>
      <c r="J21" s="52">
        <v>1831.67</v>
      </c>
      <c r="K21" s="52">
        <v>323.87</v>
      </c>
      <c r="L21" s="52">
        <v>0</v>
      </c>
      <c r="M21" s="52">
        <v>1467.17</v>
      </c>
      <c r="N21" s="52">
        <v>200.19</v>
      </c>
      <c r="O21" s="52">
        <v>0</v>
      </c>
      <c r="P21" s="52">
        <v>0</v>
      </c>
      <c r="Q21" s="52">
        <v>65.45</v>
      </c>
      <c r="R21" s="52">
        <v>0</v>
      </c>
      <c r="S21" s="52">
        <v>2276.58</v>
      </c>
      <c r="T21" s="52"/>
      <c r="U21" s="52">
        <f t="shared" si="5"/>
        <v>6164.93</v>
      </c>
      <c r="V21" s="69">
        <v>20000</v>
      </c>
      <c r="W21" s="69">
        <v>10000</v>
      </c>
      <c r="X21" s="68" t="s">
        <v>291</v>
      </c>
      <c r="Y21" s="119">
        <v>0</v>
      </c>
      <c r="Z21" s="119">
        <v>0</v>
      </c>
      <c r="AA21" s="119">
        <v>0</v>
      </c>
      <c r="AB21" s="119">
        <f t="shared" si="9"/>
        <v>2500</v>
      </c>
      <c r="AC21" s="119">
        <v>0</v>
      </c>
      <c r="AD21" s="119">
        <v>0</v>
      </c>
      <c r="AE21" s="119">
        <f t="shared" si="10"/>
        <v>2500</v>
      </c>
      <c r="AF21" s="119">
        <v>0</v>
      </c>
      <c r="AG21" s="119">
        <v>0</v>
      </c>
      <c r="AH21" s="119">
        <f t="shared" si="11"/>
        <v>2500</v>
      </c>
      <c r="AI21" s="119">
        <v>0</v>
      </c>
      <c r="AJ21" s="119">
        <f t="shared" si="7"/>
        <v>2500</v>
      </c>
      <c r="AK21" s="119">
        <f t="shared" si="8"/>
        <v>0</v>
      </c>
    </row>
    <row r="22" spans="1:37" x14ac:dyDescent="0.3">
      <c r="A22" s="50"/>
      <c r="B22" s="50"/>
      <c r="C22" s="50"/>
      <c r="D22" s="50"/>
      <c r="E22" s="50" t="s">
        <v>91</v>
      </c>
      <c r="F22" s="50"/>
      <c r="G22" s="50"/>
      <c r="H22" s="51">
        <f t="shared" ref="H22:P22" si="12">ROUND(SUM(H16:H21),5)</f>
        <v>17045.14</v>
      </c>
      <c r="I22" s="51">
        <f t="shared" si="12"/>
        <v>6115.34</v>
      </c>
      <c r="J22" s="51">
        <f t="shared" si="12"/>
        <v>8368.85</v>
      </c>
      <c r="K22" s="51">
        <f t="shared" si="12"/>
        <v>5892.78</v>
      </c>
      <c r="L22" s="51">
        <f t="shared" si="12"/>
        <v>7065.59</v>
      </c>
      <c r="M22" s="51">
        <f t="shared" si="12"/>
        <v>8252.43</v>
      </c>
      <c r="N22" s="51">
        <f t="shared" si="12"/>
        <v>5916.23</v>
      </c>
      <c r="O22" s="51">
        <f t="shared" si="12"/>
        <v>6726.72</v>
      </c>
      <c r="P22" s="51">
        <f t="shared" si="12"/>
        <v>9705.61</v>
      </c>
      <c r="Q22" s="51">
        <f>ROUND(SUM(Q16:Q21),5)</f>
        <v>4637.8</v>
      </c>
      <c r="R22" s="51">
        <f>ROUND(SUM(R16:R21),5)</f>
        <v>7854.37</v>
      </c>
      <c r="S22" s="51">
        <f>ROUND(SUM(S16:S21),5)</f>
        <v>2708.62</v>
      </c>
      <c r="T22" s="51"/>
      <c r="U22" s="51">
        <f t="shared" si="5"/>
        <v>90289.48</v>
      </c>
      <c r="V22" s="51">
        <f>ROUND(SUM(V16:V21),5)</f>
        <v>91000</v>
      </c>
      <c r="W22" s="51">
        <f>ROUND(SUM(W16:W21),5)</f>
        <v>89000</v>
      </c>
      <c r="Y22" s="51"/>
      <c r="Z22" s="51"/>
      <c r="AA22" s="51"/>
      <c r="AB22" s="51"/>
      <c r="AC22" s="51"/>
      <c r="AD22" s="51"/>
      <c r="AE22" s="51"/>
      <c r="AF22" s="51"/>
      <c r="AG22" s="51"/>
      <c r="AH22" s="51"/>
      <c r="AI22" s="51"/>
      <c r="AJ22" s="51"/>
      <c r="AK22" s="51"/>
    </row>
    <row r="23" spans="1:37" x14ac:dyDescent="0.3">
      <c r="A23" s="50"/>
      <c r="B23" s="50"/>
      <c r="C23" s="50"/>
      <c r="D23" s="50"/>
      <c r="E23" s="50" t="s">
        <v>92</v>
      </c>
      <c r="F23" s="50"/>
      <c r="G23" s="50"/>
      <c r="H23" s="51"/>
      <c r="I23" s="51"/>
      <c r="J23" s="51"/>
      <c r="K23" s="51"/>
      <c r="L23" s="51"/>
      <c r="M23" s="51"/>
      <c r="N23" s="51"/>
      <c r="O23" s="51"/>
      <c r="P23" s="51"/>
      <c r="Q23" s="51"/>
      <c r="R23" s="51"/>
      <c r="S23" s="51"/>
      <c r="T23" s="51"/>
      <c r="U23" s="51"/>
      <c r="V23" s="51"/>
      <c r="W23" s="51"/>
      <c r="Y23" s="51"/>
      <c r="Z23" s="51"/>
      <c r="AA23" s="51"/>
      <c r="AB23" s="51"/>
      <c r="AC23" s="51"/>
      <c r="AD23" s="51"/>
      <c r="AE23" s="51"/>
      <c r="AF23" s="51"/>
      <c r="AG23" s="51"/>
      <c r="AH23" s="51"/>
      <c r="AI23" s="51"/>
      <c r="AJ23" s="51"/>
      <c r="AK23" s="51"/>
    </row>
    <row r="24" spans="1:37" x14ac:dyDescent="0.3">
      <c r="A24" s="50"/>
      <c r="B24" s="50"/>
      <c r="C24" s="50"/>
      <c r="D24" s="50"/>
      <c r="E24" s="50"/>
      <c r="F24" s="50" t="s">
        <v>93</v>
      </c>
      <c r="G24" s="50"/>
      <c r="H24" s="51">
        <v>13100</v>
      </c>
      <c r="I24" s="51">
        <v>5230</v>
      </c>
      <c r="J24" s="51">
        <v>30592</v>
      </c>
      <c r="K24" s="51">
        <v>22305</v>
      </c>
      <c r="L24" s="51">
        <v>6000</v>
      </c>
      <c r="M24" s="51">
        <v>8400</v>
      </c>
      <c r="N24" s="51">
        <v>14960</v>
      </c>
      <c r="O24" s="51">
        <v>23490</v>
      </c>
      <c r="P24" s="51">
        <v>22920</v>
      </c>
      <c r="Q24" s="51">
        <v>9150</v>
      </c>
      <c r="R24" s="51">
        <v>850</v>
      </c>
      <c r="S24" s="51">
        <f>12370.66-7000</f>
        <v>5370.66</v>
      </c>
      <c r="T24" s="51"/>
      <c r="U24" s="51">
        <f t="shared" ref="U24:U35" si="13">ROUND(SUM(H24:T24),5)</f>
        <v>162367.66</v>
      </c>
      <c r="V24" s="67">
        <v>165000</v>
      </c>
      <c r="W24" s="67">
        <f>165000-20000</f>
        <v>145000</v>
      </c>
      <c r="Y24" s="67"/>
      <c r="Z24" s="67"/>
      <c r="AA24" s="67"/>
      <c r="AB24" s="67"/>
      <c r="AC24" s="67"/>
      <c r="AD24" s="67"/>
      <c r="AE24" s="67"/>
      <c r="AF24" s="67"/>
      <c r="AG24" s="67"/>
      <c r="AH24" s="67"/>
      <c r="AI24" s="67"/>
      <c r="AJ24" s="67"/>
      <c r="AK24" s="67"/>
    </row>
    <row r="25" spans="1:37" x14ac:dyDescent="0.3">
      <c r="A25" s="50"/>
      <c r="B25" s="50"/>
      <c r="C25" s="50"/>
      <c r="D25" s="50"/>
      <c r="E25" s="50"/>
      <c r="F25" s="50" t="s">
        <v>94</v>
      </c>
      <c r="G25" s="50"/>
      <c r="H25" s="51">
        <v>3300</v>
      </c>
      <c r="I25" s="51">
        <v>500</v>
      </c>
      <c r="J25" s="51">
        <v>3000</v>
      </c>
      <c r="K25" s="51">
        <v>1250</v>
      </c>
      <c r="L25" s="51">
        <v>1250</v>
      </c>
      <c r="M25" s="51">
        <v>1500</v>
      </c>
      <c r="N25" s="51">
        <v>1700</v>
      </c>
      <c r="O25" s="51">
        <v>1750</v>
      </c>
      <c r="P25" s="51">
        <v>1860</v>
      </c>
      <c r="Q25" s="51">
        <v>1800</v>
      </c>
      <c r="R25" s="51">
        <v>250</v>
      </c>
      <c r="S25" s="51">
        <v>1650</v>
      </c>
      <c r="T25" s="51"/>
      <c r="U25" s="51">
        <f t="shared" si="13"/>
        <v>19810</v>
      </c>
      <c r="V25" s="67">
        <v>18000</v>
      </c>
      <c r="W25" s="67">
        <v>18000</v>
      </c>
      <c r="Y25" s="67"/>
      <c r="Z25" s="67"/>
      <c r="AA25" s="67"/>
      <c r="AB25" s="67"/>
      <c r="AC25" s="67"/>
      <c r="AD25" s="67"/>
      <c r="AE25" s="67"/>
      <c r="AF25" s="67"/>
      <c r="AG25" s="67"/>
      <c r="AH25" s="67"/>
      <c r="AI25" s="67"/>
      <c r="AJ25" s="67"/>
      <c r="AK25" s="67"/>
    </row>
    <row r="26" spans="1:37" x14ac:dyDescent="0.3">
      <c r="A26" s="50"/>
      <c r="B26" s="50"/>
      <c r="C26" s="50"/>
      <c r="D26" s="50"/>
      <c r="E26" s="50"/>
      <c r="F26" s="50" t="s">
        <v>230</v>
      </c>
      <c r="G26" s="50"/>
      <c r="H26" s="51">
        <v>0</v>
      </c>
      <c r="I26" s="51">
        <v>230</v>
      </c>
      <c r="J26" s="51">
        <v>892</v>
      </c>
      <c r="K26" s="51">
        <v>690</v>
      </c>
      <c r="L26" s="51">
        <v>0</v>
      </c>
      <c r="M26" s="51">
        <v>460</v>
      </c>
      <c r="N26" s="51">
        <v>460</v>
      </c>
      <c r="O26" s="51">
        <v>690</v>
      </c>
      <c r="P26" s="51">
        <v>920</v>
      </c>
      <c r="Q26" s="51">
        <v>230</v>
      </c>
      <c r="R26" s="51">
        <v>0</v>
      </c>
      <c r="S26" s="51">
        <v>455</v>
      </c>
      <c r="T26" s="51"/>
      <c r="U26" s="51">
        <f t="shared" si="13"/>
        <v>5027</v>
      </c>
      <c r="V26" s="67">
        <v>3000</v>
      </c>
      <c r="W26" s="67">
        <v>3000</v>
      </c>
      <c r="Y26" s="67">
        <f t="shared" si="6"/>
        <v>250</v>
      </c>
      <c r="Z26" s="67">
        <f t="shared" si="6"/>
        <v>250</v>
      </c>
      <c r="AA26" s="67">
        <f t="shared" si="6"/>
        <v>250</v>
      </c>
      <c r="AB26" s="67">
        <f t="shared" si="6"/>
        <v>250</v>
      </c>
      <c r="AC26" s="67">
        <f t="shared" si="6"/>
        <v>250</v>
      </c>
      <c r="AD26" s="67">
        <f t="shared" si="6"/>
        <v>250</v>
      </c>
      <c r="AE26" s="67">
        <f t="shared" si="6"/>
        <v>250</v>
      </c>
      <c r="AF26" s="67">
        <f t="shared" si="6"/>
        <v>250</v>
      </c>
      <c r="AG26" s="67">
        <f t="shared" si="6"/>
        <v>250</v>
      </c>
      <c r="AH26" s="67">
        <f t="shared" si="6"/>
        <v>250</v>
      </c>
      <c r="AI26" s="67">
        <f t="shared" si="6"/>
        <v>250</v>
      </c>
      <c r="AJ26" s="67">
        <f t="shared" ref="AJ26:AJ33" si="14">W26-Y26-Z26-AA26-AB26-AC26-AD26-AE26-AF26-AG26-AH26-AI26</f>
        <v>250</v>
      </c>
      <c r="AK26" s="67">
        <f t="shared" ref="AK26:AK33" si="15">SUM(Y26:AJ26)-W26</f>
        <v>0</v>
      </c>
    </row>
    <row r="27" spans="1:37" x14ac:dyDescent="0.3">
      <c r="A27" s="50"/>
      <c r="B27" s="50"/>
      <c r="C27" s="50"/>
      <c r="D27" s="50"/>
      <c r="E27" s="50"/>
      <c r="F27" s="50" t="s">
        <v>95</v>
      </c>
      <c r="G27" s="50"/>
      <c r="H27" s="51">
        <v>3750</v>
      </c>
      <c r="I27" s="51">
        <v>1950</v>
      </c>
      <c r="J27" s="51">
        <v>8750</v>
      </c>
      <c r="K27" s="51">
        <v>4300</v>
      </c>
      <c r="L27" s="51">
        <v>1800</v>
      </c>
      <c r="M27" s="51">
        <v>4700</v>
      </c>
      <c r="N27" s="51">
        <v>5300</v>
      </c>
      <c r="O27" s="51">
        <v>3600</v>
      </c>
      <c r="P27" s="51">
        <v>7600</v>
      </c>
      <c r="Q27" s="51">
        <v>6250</v>
      </c>
      <c r="R27" s="51">
        <v>1000</v>
      </c>
      <c r="S27" s="51">
        <f>6100-4000</f>
        <v>2100</v>
      </c>
      <c r="T27" s="51"/>
      <c r="U27" s="51">
        <f t="shared" si="13"/>
        <v>51100</v>
      </c>
      <c r="V27" s="67">
        <v>47000</v>
      </c>
      <c r="W27" s="67">
        <f>47000-10000</f>
        <v>37000</v>
      </c>
      <c r="Y27" s="67">
        <f t="shared" si="6"/>
        <v>3083</v>
      </c>
      <c r="Z27" s="67">
        <f t="shared" si="6"/>
        <v>3083</v>
      </c>
      <c r="AA27" s="67">
        <f t="shared" si="6"/>
        <v>3083</v>
      </c>
      <c r="AB27" s="67">
        <f t="shared" si="6"/>
        <v>3083</v>
      </c>
      <c r="AC27" s="67">
        <f t="shared" si="6"/>
        <v>3083</v>
      </c>
      <c r="AD27" s="67">
        <f t="shared" si="6"/>
        <v>3083</v>
      </c>
      <c r="AE27" s="67">
        <f t="shared" si="6"/>
        <v>3083</v>
      </c>
      <c r="AF27" s="67">
        <f t="shared" si="6"/>
        <v>3083</v>
      </c>
      <c r="AG27" s="67">
        <f t="shared" si="6"/>
        <v>3083</v>
      </c>
      <c r="AH27" s="67">
        <f t="shared" si="6"/>
        <v>3083</v>
      </c>
      <c r="AI27" s="67">
        <f t="shared" si="6"/>
        <v>3083</v>
      </c>
      <c r="AJ27" s="67">
        <f t="shared" si="14"/>
        <v>3087</v>
      </c>
      <c r="AK27" s="67">
        <f t="shared" si="15"/>
        <v>0</v>
      </c>
    </row>
    <row r="28" spans="1:37" x14ac:dyDescent="0.3">
      <c r="A28" s="50"/>
      <c r="B28" s="50"/>
      <c r="C28" s="50"/>
      <c r="D28" s="50"/>
      <c r="E28" s="50"/>
      <c r="F28" s="50" t="s">
        <v>96</v>
      </c>
      <c r="G28" s="50"/>
      <c r="H28" s="51">
        <v>20500</v>
      </c>
      <c r="I28" s="51">
        <v>3770</v>
      </c>
      <c r="J28" s="51">
        <v>21408</v>
      </c>
      <c r="K28" s="51">
        <v>-505</v>
      </c>
      <c r="L28" s="51">
        <v>10500</v>
      </c>
      <c r="M28" s="51">
        <v>6000</v>
      </c>
      <c r="N28" s="51">
        <v>10690</v>
      </c>
      <c r="O28" s="51">
        <v>-990</v>
      </c>
      <c r="P28" s="51">
        <v>13230</v>
      </c>
      <c r="Q28" s="51">
        <v>4000</v>
      </c>
      <c r="R28" s="51">
        <v>800</v>
      </c>
      <c r="S28" s="51">
        <f>9282-3737.66</f>
        <v>5544.34</v>
      </c>
      <c r="T28" s="51"/>
      <c r="U28" s="51">
        <f t="shared" si="13"/>
        <v>94947.34</v>
      </c>
      <c r="V28" s="67">
        <v>70000</v>
      </c>
      <c r="W28" s="67">
        <f>70000-13200</f>
        <v>56800</v>
      </c>
      <c r="Y28" s="67">
        <f t="shared" si="6"/>
        <v>4733</v>
      </c>
      <c r="Z28" s="67">
        <f t="shared" si="6"/>
        <v>4733</v>
      </c>
      <c r="AA28" s="67">
        <f t="shared" si="6"/>
        <v>4733</v>
      </c>
      <c r="AB28" s="67">
        <f t="shared" si="6"/>
        <v>4733</v>
      </c>
      <c r="AC28" s="67">
        <f t="shared" si="6"/>
        <v>4733</v>
      </c>
      <c r="AD28" s="67">
        <f t="shared" si="6"/>
        <v>4733</v>
      </c>
      <c r="AE28" s="67">
        <f t="shared" si="6"/>
        <v>4733</v>
      </c>
      <c r="AF28" s="67">
        <f t="shared" si="6"/>
        <v>4733</v>
      </c>
      <c r="AG28" s="67">
        <f t="shared" si="6"/>
        <v>4733</v>
      </c>
      <c r="AH28" s="67">
        <f t="shared" si="6"/>
        <v>4733</v>
      </c>
      <c r="AI28" s="67">
        <f t="shared" si="6"/>
        <v>4733</v>
      </c>
      <c r="AJ28" s="67">
        <f t="shared" si="14"/>
        <v>4737</v>
      </c>
      <c r="AK28" s="67">
        <f t="shared" si="15"/>
        <v>0</v>
      </c>
    </row>
    <row r="29" spans="1:37" x14ac:dyDescent="0.3">
      <c r="A29" s="50"/>
      <c r="B29" s="50"/>
      <c r="C29" s="50"/>
      <c r="D29" s="50"/>
      <c r="E29" s="50"/>
      <c r="F29" s="50" t="s">
        <v>97</v>
      </c>
      <c r="G29" s="50"/>
      <c r="H29" s="51">
        <v>1100</v>
      </c>
      <c r="I29" s="51">
        <v>0</v>
      </c>
      <c r="J29" s="51">
        <v>4300</v>
      </c>
      <c r="K29" s="51">
        <v>7900</v>
      </c>
      <c r="L29" s="51">
        <v>0</v>
      </c>
      <c r="M29" s="51">
        <v>5400</v>
      </c>
      <c r="N29" s="51">
        <v>3600</v>
      </c>
      <c r="O29" s="51">
        <v>5200</v>
      </c>
      <c r="P29" s="51">
        <v>3600</v>
      </c>
      <c r="Q29" s="51">
        <v>2900</v>
      </c>
      <c r="R29" s="51">
        <v>0</v>
      </c>
      <c r="S29" s="51">
        <v>2700</v>
      </c>
      <c r="T29" s="51"/>
      <c r="U29" s="51">
        <f t="shared" si="13"/>
        <v>36700</v>
      </c>
      <c r="V29" s="67">
        <v>17000</v>
      </c>
      <c r="W29" s="67">
        <v>17000</v>
      </c>
      <c r="Y29" s="67">
        <f t="shared" si="6"/>
        <v>1417</v>
      </c>
      <c r="Z29" s="67">
        <f t="shared" si="6"/>
        <v>1417</v>
      </c>
      <c r="AA29" s="67">
        <f t="shared" si="6"/>
        <v>1417</v>
      </c>
      <c r="AB29" s="67">
        <f t="shared" si="6"/>
        <v>1417</v>
      </c>
      <c r="AC29" s="67">
        <f t="shared" si="6"/>
        <v>1417</v>
      </c>
      <c r="AD29" s="67">
        <f t="shared" si="6"/>
        <v>1417</v>
      </c>
      <c r="AE29" s="67">
        <f t="shared" si="6"/>
        <v>1417</v>
      </c>
      <c r="AF29" s="67">
        <f t="shared" si="6"/>
        <v>1417</v>
      </c>
      <c r="AG29" s="67">
        <f t="shared" si="6"/>
        <v>1417</v>
      </c>
      <c r="AH29" s="67">
        <f t="shared" si="6"/>
        <v>1417</v>
      </c>
      <c r="AI29" s="67">
        <f t="shared" si="6"/>
        <v>1417</v>
      </c>
      <c r="AJ29" s="67">
        <f t="shared" si="14"/>
        <v>1413</v>
      </c>
      <c r="AK29" s="67">
        <f t="shared" si="15"/>
        <v>0</v>
      </c>
    </row>
    <row r="30" spans="1:37" x14ac:dyDescent="0.3">
      <c r="A30" s="50"/>
      <c r="B30" s="50"/>
      <c r="C30" s="50"/>
      <c r="D30" s="50"/>
      <c r="E30" s="50"/>
      <c r="F30" s="50" t="s">
        <v>198</v>
      </c>
      <c r="G30" s="50"/>
      <c r="H30" s="51">
        <v>0</v>
      </c>
      <c r="I30" s="51">
        <v>0</v>
      </c>
      <c r="J30" s="51">
        <v>0</v>
      </c>
      <c r="K30" s="51">
        <v>0</v>
      </c>
      <c r="L30" s="51">
        <v>0</v>
      </c>
      <c r="M30" s="51">
        <v>0</v>
      </c>
      <c r="N30" s="51">
        <v>0</v>
      </c>
      <c r="O30" s="51">
        <v>0</v>
      </c>
      <c r="P30" s="51">
        <v>0</v>
      </c>
      <c r="Q30" s="51">
        <v>300</v>
      </c>
      <c r="R30" s="51">
        <v>0</v>
      </c>
      <c r="S30" s="51">
        <v>0</v>
      </c>
      <c r="T30" s="51"/>
      <c r="U30" s="51">
        <f t="shared" si="13"/>
        <v>300</v>
      </c>
      <c r="V30" s="67">
        <v>300</v>
      </c>
      <c r="W30" s="67">
        <v>300</v>
      </c>
      <c r="Y30" s="67">
        <f t="shared" si="6"/>
        <v>25</v>
      </c>
      <c r="Z30" s="67">
        <f t="shared" si="6"/>
        <v>25</v>
      </c>
      <c r="AA30" s="67">
        <f t="shared" si="6"/>
        <v>25</v>
      </c>
      <c r="AB30" s="67">
        <f t="shared" si="6"/>
        <v>25</v>
      </c>
      <c r="AC30" s="67">
        <f t="shared" si="6"/>
        <v>25</v>
      </c>
      <c r="AD30" s="67">
        <f t="shared" si="6"/>
        <v>25</v>
      </c>
      <c r="AE30" s="67">
        <f t="shared" si="6"/>
        <v>25</v>
      </c>
      <c r="AF30" s="67">
        <f t="shared" si="6"/>
        <v>25</v>
      </c>
      <c r="AG30" s="67">
        <f t="shared" si="6"/>
        <v>25</v>
      </c>
      <c r="AH30" s="67">
        <f t="shared" si="6"/>
        <v>25</v>
      </c>
      <c r="AI30" s="67">
        <f t="shared" si="6"/>
        <v>25</v>
      </c>
      <c r="AJ30" s="67">
        <f t="shared" si="14"/>
        <v>25</v>
      </c>
      <c r="AK30" s="67">
        <f t="shared" si="15"/>
        <v>0</v>
      </c>
    </row>
    <row r="31" spans="1:37" ht="13.8" customHeight="1" x14ac:dyDescent="0.3">
      <c r="A31" s="50"/>
      <c r="B31" s="50"/>
      <c r="C31" s="50"/>
      <c r="D31" s="50"/>
      <c r="E31" s="50"/>
      <c r="F31" s="50" t="s">
        <v>231</v>
      </c>
      <c r="G31" s="50"/>
      <c r="H31" s="51">
        <v>1000</v>
      </c>
      <c r="I31" s="51">
        <v>500</v>
      </c>
      <c r="J31" s="51">
        <v>6500</v>
      </c>
      <c r="K31" s="51">
        <v>3000</v>
      </c>
      <c r="L31" s="51">
        <v>1000</v>
      </c>
      <c r="M31" s="51">
        <v>3000</v>
      </c>
      <c r="N31" s="51">
        <v>3500</v>
      </c>
      <c r="O31" s="51">
        <v>4000</v>
      </c>
      <c r="P31" s="51">
        <v>5000</v>
      </c>
      <c r="Q31" s="51">
        <v>4000</v>
      </c>
      <c r="R31" s="51">
        <v>0</v>
      </c>
      <c r="S31" s="51">
        <v>500</v>
      </c>
      <c r="T31" s="51"/>
      <c r="U31" s="51">
        <f t="shared" si="13"/>
        <v>32000</v>
      </c>
      <c r="V31" s="67">
        <v>6500</v>
      </c>
      <c r="W31" s="67">
        <v>16000</v>
      </c>
      <c r="X31" s="68" t="s">
        <v>309</v>
      </c>
      <c r="Y31" s="67">
        <f t="shared" si="6"/>
        <v>1333</v>
      </c>
      <c r="Z31" s="67">
        <f t="shared" si="6"/>
        <v>1333</v>
      </c>
      <c r="AA31" s="67">
        <f t="shared" si="6"/>
        <v>1333</v>
      </c>
      <c r="AB31" s="67">
        <f t="shared" si="6"/>
        <v>1333</v>
      </c>
      <c r="AC31" s="67">
        <f t="shared" si="6"/>
        <v>1333</v>
      </c>
      <c r="AD31" s="67">
        <f t="shared" si="6"/>
        <v>1333</v>
      </c>
      <c r="AE31" s="67">
        <f t="shared" si="6"/>
        <v>1333</v>
      </c>
      <c r="AF31" s="67">
        <f t="shared" si="6"/>
        <v>1333</v>
      </c>
      <c r="AG31" s="67">
        <f t="shared" si="6"/>
        <v>1333</v>
      </c>
      <c r="AH31" s="67">
        <f t="shared" si="6"/>
        <v>1333</v>
      </c>
      <c r="AI31" s="67">
        <f t="shared" si="6"/>
        <v>1333</v>
      </c>
      <c r="AJ31" s="67">
        <f t="shared" si="14"/>
        <v>1337</v>
      </c>
      <c r="AK31" s="67">
        <f t="shared" si="15"/>
        <v>0</v>
      </c>
    </row>
    <row r="32" spans="1:37" x14ac:dyDescent="0.3">
      <c r="A32" s="50"/>
      <c r="B32" s="50"/>
      <c r="C32" s="50"/>
      <c r="D32" s="50"/>
      <c r="E32" s="50"/>
      <c r="F32" s="50" t="s">
        <v>98</v>
      </c>
      <c r="G32" s="50"/>
      <c r="H32" s="51">
        <v>1480</v>
      </c>
      <c r="I32" s="51">
        <v>980</v>
      </c>
      <c r="J32" s="51">
        <v>2360</v>
      </c>
      <c r="K32" s="51">
        <v>1965</v>
      </c>
      <c r="L32" s="51">
        <v>375</v>
      </c>
      <c r="M32" s="51">
        <v>2855</v>
      </c>
      <c r="N32" s="51">
        <v>1860</v>
      </c>
      <c r="O32" s="51">
        <v>880</v>
      </c>
      <c r="P32" s="51">
        <v>4003</v>
      </c>
      <c r="Q32" s="51">
        <v>2025</v>
      </c>
      <c r="R32" s="51">
        <v>0</v>
      </c>
      <c r="S32" s="51">
        <v>1680</v>
      </c>
      <c r="T32" s="51"/>
      <c r="U32" s="51">
        <f t="shared" si="13"/>
        <v>20463</v>
      </c>
      <c r="V32" s="67">
        <v>16000</v>
      </c>
      <c r="W32" s="67">
        <v>16000</v>
      </c>
      <c r="Y32" s="67">
        <f t="shared" si="6"/>
        <v>1333</v>
      </c>
      <c r="Z32" s="67">
        <f t="shared" si="6"/>
        <v>1333</v>
      </c>
      <c r="AA32" s="67">
        <f t="shared" si="6"/>
        <v>1333</v>
      </c>
      <c r="AB32" s="67">
        <f t="shared" si="6"/>
        <v>1333</v>
      </c>
      <c r="AC32" s="67">
        <f t="shared" si="6"/>
        <v>1333</v>
      </c>
      <c r="AD32" s="67">
        <f t="shared" si="6"/>
        <v>1333</v>
      </c>
      <c r="AE32" s="67">
        <f t="shared" si="6"/>
        <v>1333</v>
      </c>
      <c r="AF32" s="67">
        <f t="shared" si="6"/>
        <v>1333</v>
      </c>
      <c r="AG32" s="67">
        <f t="shared" si="6"/>
        <v>1333</v>
      </c>
      <c r="AH32" s="67">
        <f t="shared" si="6"/>
        <v>1333</v>
      </c>
      <c r="AI32" s="67">
        <f t="shared" si="6"/>
        <v>1333</v>
      </c>
      <c r="AJ32" s="67">
        <f t="shared" si="14"/>
        <v>1337</v>
      </c>
      <c r="AK32" s="67">
        <f t="shared" si="15"/>
        <v>0</v>
      </c>
    </row>
    <row r="33" spans="1:37" ht="15" thickBot="1" x14ac:dyDescent="0.35">
      <c r="A33" s="50"/>
      <c r="B33" s="50"/>
      <c r="C33" s="50"/>
      <c r="D33" s="50"/>
      <c r="E33" s="50"/>
      <c r="F33" s="50" t="s">
        <v>99</v>
      </c>
      <c r="G33" s="50"/>
      <c r="H33" s="51">
        <v>0</v>
      </c>
      <c r="I33" s="51">
        <v>0</v>
      </c>
      <c r="J33" s="51">
        <v>88.5</v>
      </c>
      <c r="K33" s="51">
        <v>15</v>
      </c>
      <c r="L33" s="51">
        <v>0</v>
      </c>
      <c r="M33" s="51">
        <v>0</v>
      </c>
      <c r="N33" s="51">
        <v>0</v>
      </c>
      <c r="O33" s="51">
        <v>0</v>
      </c>
      <c r="P33" s="51">
        <v>0</v>
      </c>
      <c r="Q33" s="51">
        <v>0</v>
      </c>
      <c r="R33" s="51">
        <v>-150</v>
      </c>
      <c r="S33" s="51">
        <v>0</v>
      </c>
      <c r="T33" s="51"/>
      <c r="U33" s="51">
        <f t="shared" si="13"/>
        <v>-46.5</v>
      </c>
      <c r="V33" s="67">
        <v>400</v>
      </c>
      <c r="W33" s="67">
        <v>400</v>
      </c>
      <c r="Y33" s="67">
        <f t="shared" si="6"/>
        <v>33</v>
      </c>
      <c r="Z33" s="67">
        <f t="shared" si="6"/>
        <v>33</v>
      </c>
      <c r="AA33" s="67">
        <f t="shared" si="6"/>
        <v>33</v>
      </c>
      <c r="AB33" s="67">
        <f t="shared" si="6"/>
        <v>33</v>
      </c>
      <c r="AC33" s="67">
        <f t="shared" si="6"/>
        <v>33</v>
      </c>
      <c r="AD33" s="67">
        <f t="shared" si="6"/>
        <v>33</v>
      </c>
      <c r="AE33" s="67">
        <f t="shared" si="6"/>
        <v>33</v>
      </c>
      <c r="AF33" s="67">
        <f t="shared" si="6"/>
        <v>33</v>
      </c>
      <c r="AG33" s="67">
        <f t="shared" si="6"/>
        <v>33</v>
      </c>
      <c r="AH33" s="67">
        <f t="shared" si="6"/>
        <v>33</v>
      </c>
      <c r="AI33" s="67">
        <f t="shared" si="6"/>
        <v>33</v>
      </c>
      <c r="AJ33" s="67">
        <f t="shared" si="14"/>
        <v>37</v>
      </c>
      <c r="AK33" s="67">
        <f t="shared" si="15"/>
        <v>0</v>
      </c>
    </row>
    <row r="34" spans="1:37" ht="15" thickBot="1" x14ac:dyDescent="0.35">
      <c r="A34" s="50"/>
      <c r="B34" s="50"/>
      <c r="C34" s="50"/>
      <c r="D34" s="50"/>
      <c r="E34" s="50" t="s">
        <v>100</v>
      </c>
      <c r="F34" s="50"/>
      <c r="G34" s="50"/>
      <c r="H34" s="53">
        <f t="shared" ref="H34:P34" si="16">ROUND(SUM(H23:H33),5)</f>
        <v>44230</v>
      </c>
      <c r="I34" s="53">
        <f t="shared" si="16"/>
        <v>13160</v>
      </c>
      <c r="J34" s="53">
        <f t="shared" si="16"/>
        <v>77890.5</v>
      </c>
      <c r="K34" s="53">
        <f t="shared" si="16"/>
        <v>40920</v>
      </c>
      <c r="L34" s="53">
        <f t="shared" si="16"/>
        <v>20925</v>
      </c>
      <c r="M34" s="53">
        <f t="shared" si="16"/>
        <v>32315</v>
      </c>
      <c r="N34" s="53">
        <f t="shared" si="16"/>
        <v>42070</v>
      </c>
      <c r="O34" s="53">
        <f t="shared" si="16"/>
        <v>38620</v>
      </c>
      <c r="P34" s="53">
        <f t="shared" si="16"/>
        <v>59133</v>
      </c>
      <c r="Q34" s="53">
        <f>ROUND(SUM(Q23:Q33),5)</f>
        <v>30655</v>
      </c>
      <c r="R34" s="53">
        <f>ROUND(SUM(R23:R33),5)</f>
        <v>2750</v>
      </c>
      <c r="S34" s="53">
        <f>ROUND(SUM(S23:S33),5)</f>
        <v>20000</v>
      </c>
      <c r="T34" s="53" t="s">
        <v>307</v>
      </c>
      <c r="U34" s="53">
        <f t="shared" si="13"/>
        <v>422668.5</v>
      </c>
      <c r="V34" s="53">
        <f>ROUND(SUM(V23:V33),5)</f>
        <v>343200</v>
      </c>
      <c r="W34" s="53">
        <f>ROUND(SUM(W23:W33),5)</f>
        <v>309500</v>
      </c>
      <c r="Y34" s="53"/>
      <c r="Z34" s="53"/>
      <c r="AA34" s="53"/>
      <c r="AB34" s="53"/>
      <c r="AC34" s="53"/>
      <c r="AD34" s="53"/>
      <c r="AE34" s="53"/>
      <c r="AF34" s="53"/>
      <c r="AG34" s="53"/>
      <c r="AH34" s="53"/>
      <c r="AI34" s="53"/>
      <c r="AJ34" s="53"/>
      <c r="AK34" s="53"/>
    </row>
    <row r="35" spans="1:37" x14ac:dyDescent="0.3">
      <c r="A35" s="50"/>
      <c r="B35" s="50"/>
      <c r="C35" s="50"/>
      <c r="D35" s="50" t="s">
        <v>3</v>
      </c>
      <c r="E35" s="50"/>
      <c r="F35" s="50"/>
      <c r="G35" s="50"/>
      <c r="H35" s="51">
        <f t="shared" ref="H35:P35" si="17">ROUND(H3+H15+H22+H34,5)</f>
        <v>61275.14</v>
      </c>
      <c r="I35" s="51">
        <f t="shared" si="17"/>
        <v>21077.040000000001</v>
      </c>
      <c r="J35" s="51">
        <f t="shared" si="17"/>
        <v>86259.35</v>
      </c>
      <c r="K35" s="51">
        <f t="shared" si="17"/>
        <v>85563.12</v>
      </c>
      <c r="L35" s="51">
        <f t="shared" si="17"/>
        <v>26431.9</v>
      </c>
      <c r="M35" s="51">
        <f t="shared" si="17"/>
        <v>297669.45</v>
      </c>
      <c r="N35" s="51">
        <f t="shared" si="17"/>
        <v>218782.29</v>
      </c>
      <c r="O35" s="51">
        <f t="shared" si="17"/>
        <v>59700.88</v>
      </c>
      <c r="P35" s="51">
        <f t="shared" si="17"/>
        <v>74424.84</v>
      </c>
      <c r="Q35" s="51">
        <f>ROUND(Q3+Q15+Q22+Q34,5)</f>
        <v>104610.76</v>
      </c>
      <c r="R35" s="51">
        <f>ROUND(R3+R15+R22+R34,5)</f>
        <v>275564.61</v>
      </c>
      <c r="S35" s="51">
        <f>ROUND(S3+S15+S22+S34,5)</f>
        <v>43652.36</v>
      </c>
      <c r="T35" s="51"/>
      <c r="U35" s="51">
        <f t="shared" si="13"/>
        <v>1355011.74</v>
      </c>
      <c r="V35" s="51">
        <f>ROUND(V3+V15+V22+V34,5)</f>
        <v>1201000</v>
      </c>
      <c r="W35" s="51">
        <f>ROUND(W3+W15+W22+W34,5)</f>
        <v>1198500</v>
      </c>
      <c r="Y35" s="51"/>
      <c r="Z35" s="51"/>
      <c r="AA35" s="51"/>
      <c r="AB35" s="51"/>
      <c r="AC35" s="51"/>
      <c r="AD35" s="51"/>
      <c r="AE35" s="51"/>
      <c r="AF35" s="51"/>
      <c r="AG35" s="51"/>
      <c r="AH35" s="51"/>
      <c r="AI35" s="51"/>
      <c r="AJ35" s="51"/>
      <c r="AK35" s="51"/>
    </row>
    <row r="36" spans="1:37" hidden="1" x14ac:dyDescent="0.3">
      <c r="A36" s="50"/>
      <c r="B36" s="50"/>
      <c r="C36" s="50"/>
      <c r="D36" s="50" t="s">
        <v>101</v>
      </c>
      <c r="E36" s="50"/>
      <c r="F36" s="50"/>
      <c r="G36" s="50"/>
      <c r="H36" s="51"/>
      <c r="I36" s="51"/>
      <c r="J36" s="51"/>
      <c r="K36" s="51"/>
      <c r="L36" s="51"/>
      <c r="M36" s="51"/>
      <c r="N36" s="51"/>
      <c r="O36" s="51"/>
      <c r="P36" s="51"/>
      <c r="Q36" s="51"/>
      <c r="R36" s="51"/>
      <c r="S36" s="51"/>
      <c r="T36" s="51"/>
      <c r="U36" s="51"/>
      <c r="V36" s="51"/>
      <c r="W36" s="51"/>
      <c r="Y36" s="51">
        <f t="shared" si="6"/>
        <v>0</v>
      </c>
      <c r="Z36" s="51">
        <f t="shared" si="6"/>
        <v>0</v>
      </c>
      <c r="AA36" s="51">
        <f t="shared" si="6"/>
        <v>0</v>
      </c>
      <c r="AB36" s="51">
        <f t="shared" si="6"/>
        <v>0</v>
      </c>
      <c r="AC36" s="51">
        <f t="shared" si="6"/>
        <v>0</v>
      </c>
      <c r="AD36" s="51">
        <f t="shared" si="6"/>
        <v>0</v>
      </c>
      <c r="AE36" s="51">
        <f t="shared" si="6"/>
        <v>0</v>
      </c>
      <c r="AF36" s="51">
        <f t="shared" si="6"/>
        <v>0</v>
      </c>
      <c r="AG36" s="51">
        <f t="shared" si="6"/>
        <v>0</v>
      </c>
      <c r="AH36" s="51">
        <f t="shared" si="6"/>
        <v>0</v>
      </c>
      <c r="AI36" s="51">
        <f t="shared" si="6"/>
        <v>0</v>
      </c>
      <c r="AJ36" s="51" t="e">
        <f>#REF!-Y36-Z36-AA36-AB36-AC36-AD36-AE36-AF36-AG36-AH36-AI36</f>
        <v>#REF!</v>
      </c>
      <c r="AK36" s="51" t="e">
        <f>SUM(Y36:AJ36)-#REF!</f>
        <v>#REF!</v>
      </c>
    </row>
    <row r="37" spans="1:37" hidden="1" x14ac:dyDescent="0.3">
      <c r="A37" s="50"/>
      <c r="B37" s="50"/>
      <c r="C37" s="50"/>
      <c r="D37" s="50"/>
      <c r="E37" s="50" t="s">
        <v>102</v>
      </c>
      <c r="F37" s="50"/>
      <c r="G37" s="50"/>
      <c r="H37" s="51">
        <v>0</v>
      </c>
      <c r="I37" s="51">
        <v>0</v>
      </c>
      <c r="J37" s="51">
        <v>0</v>
      </c>
      <c r="K37" s="51">
        <v>0</v>
      </c>
      <c r="L37" s="51">
        <v>0</v>
      </c>
      <c r="M37" s="51">
        <v>0</v>
      </c>
      <c r="N37" s="51">
        <v>0</v>
      </c>
      <c r="O37" s="51">
        <v>0</v>
      </c>
      <c r="P37" s="51">
        <v>0</v>
      </c>
      <c r="Q37" s="51">
        <v>0</v>
      </c>
      <c r="R37" s="51">
        <v>0</v>
      </c>
      <c r="S37" s="51">
        <v>0</v>
      </c>
      <c r="T37" s="51"/>
      <c r="U37" s="51">
        <f>ROUND(SUM(H37:T37),5)</f>
        <v>0</v>
      </c>
      <c r="V37" s="51">
        <v>0</v>
      </c>
      <c r="W37" s="51">
        <v>0</v>
      </c>
      <c r="Y37" s="51">
        <f t="shared" si="6"/>
        <v>0</v>
      </c>
      <c r="Z37" s="51">
        <f t="shared" si="6"/>
        <v>0</v>
      </c>
      <c r="AA37" s="51">
        <f t="shared" si="6"/>
        <v>0</v>
      </c>
      <c r="AB37" s="51">
        <f t="shared" si="6"/>
        <v>0</v>
      </c>
      <c r="AC37" s="51">
        <f t="shared" si="6"/>
        <v>0</v>
      </c>
      <c r="AD37" s="51">
        <f t="shared" si="6"/>
        <v>0</v>
      </c>
      <c r="AE37" s="51">
        <f t="shared" si="6"/>
        <v>0</v>
      </c>
      <c r="AF37" s="51">
        <f t="shared" si="6"/>
        <v>0</v>
      </c>
      <c r="AG37" s="51">
        <f t="shared" si="6"/>
        <v>0</v>
      </c>
      <c r="AH37" s="51">
        <f t="shared" si="6"/>
        <v>0</v>
      </c>
      <c r="AI37" s="51">
        <f t="shared" si="6"/>
        <v>0</v>
      </c>
      <c r="AJ37" s="51" t="e">
        <f>#REF!-Y37-Z37-AA37-AB37-AC37-AD37-AE37-AF37-AG37-AH37-AI37</f>
        <v>#REF!</v>
      </c>
      <c r="AK37" s="51" t="e">
        <f>SUM(Y37:AJ37)-#REF!</f>
        <v>#REF!</v>
      </c>
    </row>
    <row r="38" spans="1:37" ht="15" hidden="1" thickBot="1" x14ac:dyDescent="0.35">
      <c r="A38" s="50"/>
      <c r="B38" s="50"/>
      <c r="C38" s="50"/>
      <c r="D38" s="50" t="s">
        <v>103</v>
      </c>
      <c r="E38" s="50"/>
      <c r="F38" s="50"/>
      <c r="G38" s="50"/>
      <c r="H38" s="53">
        <f t="shared" ref="H38:P38" si="18">ROUND(SUM(H36:H37),5)</f>
        <v>0</v>
      </c>
      <c r="I38" s="53">
        <f t="shared" si="18"/>
        <v>0</v>
      </c>
      <c r="J38" s="53">
        <f t="shared" si="18"/>
        <v>0</v>
      </c>
      <c r="K38" s="53">
        <f t="shared" si="18"/>
        <v>0</v>
      </c>
      <c r="L38" s="53">
        <f t="shared" si="18"/>
        <v>0</v>
      </c>
      <c r="M38" s="53">
        <f t="shared" si="18"/>
        <v>0</v>
      </c>
      <c r="N38" s="53">
        <f t="shared" si="18"/>
        <v>0</v>
      </c>
      <c r="O38" s="53">
        <f t="shared" si="18"/>
        <v>0</v>
      </c>
      <c r="P38" s="53">
        <f t="shared" si="18"/>
        <v>0</v>
      </c>
      <c r="Q38" s="53">
        <f>ROUND(SUM(Q36:Q37),5)</f>
        <v>0</v>
      </c>
      <c r="R38" s="53">
        <f>ROUND(SUM(R36:R37),5)</f>
        <v>0</v>
      </c>
      <c r="S38" s="53">
        <f>ROUND(SUM(S36:S37),5)</f>
        <v>0</v>
      </c>
      <c r="T38" s="53"/>
      <c r="U38" s="53">
        <f>ROUND(SUM(H38:T38),5)</f>
        <v>0</v>
      </c>
      <c r="V38" s="53">
        <f>ROUND(SUM(V36:V37),5)</f>
        <v>0</v>
      </c>
      <c r="W38" s="53">
        <f>ROUND(SUM(W36:W37),5)</f>
        <v>0</v>
      </c>
      <c r="Y38" s="53">
        <f t="shared" si="6"/>
        <v>0</v>
      </c>
      <c r="Z38" s="53">
        <f t="shared" si="6"/>
        <v>0</v>
      </c>
      <c r="AA38" s="53">
        <f t="shared" si="6"/>
        <v>0</v>
      </c>
      <c r="AB38" s="53">
        <f t="shared" si="6"/>
        <v>0</v>
      </c>
      <c r="AC38" s="53">
        <f t="shared" si="6"/>
        <v>0</v>
      </c>
      <c r="AD38" s="53">
        <f t="shared" si="6"/>
        <v>0</v>
      </c>
      <c r="AE38" s="53">
        <f t="shared" si="6"/>
        <v>0</v>
      </c>
      <c r="AF38" s="53">
        <f t="shared" si="6"/>
        <v>0</v>
      </c>
      <c r="AG38" s="53">
        <f t="shared" si="6"/>
        <v>0</v>
      </c>
      <c r="AH38" s="53">
        <f t="shared" si="6"/>
        <v>0</v>
      </c>
      <c r="AI38" s="53">
        <f t="shared" si="6"/>
        <v>0</v>
      </c>
      <c r="AJ38" s="53" t="e">
        <f>#REF!-Y38-Z38-AA38-AB38-AC38-AD38-AE38-AF38-AG38-AH38-AI38</f>
        <v>#REF!</v>
      </c>
      <c r="AK38" s="53" t="e">
        <f>SUM(Y38:AJ38)-#REF!</f>
        <v>#REF!</v>
      </c>
    </row>
    <row r="39" spans="1:37" hidden="1" x14ac:dyDescent="0.3">
      <c r="A39" s="50"/>
      <c r="B39" s="50"/>
      <c r="C39" s="50" t="s">
        <v>104</v>
      </c>
      <c r="D39" s="50"/>
      <c r="E39" s="50"/>
      <c r="F39" s="50"/>
      <c r="G39" s="50"/>
      <c r="H39" s="51">
        <f t="shared" ref="H39:P39" si="19">ROUND(H35-H38,5)</f>
        <v>61275.14</v>
      </c>
      <c r="I39" s="51">
        <f t="shared" si="19"/>
        <v>21077.040000000001</v>
      </c>
      <c r="J39" s="51">
        <f t="shared" si="19"/>
        <v>86259.35</v>
      </c>
      <c r="K39" s="51">
        <f t="shared" si="19"/>
        <v>85563.12</v>
      </c>
      <c r="L39" s="51">
        <f t="shared" si="19"/>
        <v>26431.9</v>
      </c>
      <c r="M39" s="51">
        <f t="shared" si="19"/>
        <v>297669.45</v>
      </c>
      <c r="N39" s="51">
        <f t="shared" si="19"/>
        <v>218782.29</v>
      </c>
      <c r="O39" s="51">
        <f t="shared" si="19"/>
        <v>59700.88</v>
      </c>
      <c r="P39" s="51">
        <f t="shared" si="19"/>
        <v>74424.84</v>
      </c>
      <c r="Q39" s="51">
        <f>ROUND(Q35-Q38,5)</f>
        <v>104610.76</v>
      </c>
      <c r="R39" s="51">
        <f>ROUND(R35-R38,5)</f>
        <v>275564.61</v>
      </c>
      <c r="S39" s="51">
        <f>ROUND(S35-S38,5)</f>
        <v>43652.36</v>
      </c>
      <c r="T39" s="51"/>
      <c r="U39" s="51">
        <f>ROUND(SUM(H39:T39),5)</f>
        <v>1355011.74</v>
      </c>
      <c r="V39" s="51">
        <f>ROUND(V35-V38,5)</f>
        <v>1201000</v>
      </c>
      <c r="W39" s="51">
        <f>ROUND(W35-W38,5)</f>
        <v>1198500</v>
      </c>
      <c r="Y39" s="51">
        <f t="shared" si="6"/>
        <v>99875</v>
      </c>
      <c r="Z39" s="51">
        <f t="shared" si="6"/>
        <v>99875</v>
      </c>
      <c r="AA39" s="51">
        <f t="shared" si="6"/>
        <v>99875</v>
      </c>
      <c r="AB39" s="51">
        <f t="shared" si="6"/>
        <v>99875</v>
      </c>
      <c r="AC39" s="51">
        <f t="shared" si="6"/>
        <v>99875</v>
      </c>
      <c r="AD39" s="51">
        <f t="shared" si="6"/>
        <v>99875</v>
      </c>
      <c r="AE39" s="51">
        <f t="shared" si="6"/>
        <v>99875</v>
      </c>
      <c r="AF39" s="51">
        <f t="shared" si="6"/>
        <v>99875</v>
      </c>
      <c r="AG39" s="51">
        <f t="shared" si="6"/>
        <v>99875</v>
      </c>
      <c r="AH39" s="51">
        <f t="shared" si="6"/>
        <v>99875</v>
      </c>
      <c r="AI39" s="51">
        <f t="shared" si="6"/>
        <v>99875</v>
      </c>
      <c r="AJ39" s="51" t="e">
        <f>#REF!-Y39-Z39-AA39-AB39-AC39-AD39-AE39-AF39-AG39-AH39-AI39</f>
        <v>#REF!</v>
      </c>
      <c r="AK39" s="51" t="e">
        <f>SUM(Y39:AJ39)-#REF!</f>
        <v>#REF!</v>
      </c>
    </row>
    <row r="40" spans="1:37" x14ac:dyDescent="0.3">
      <c r="A40" s="50"/>
      <c r="B40" s="50"/>
      <c r="C40" s="50"/>
      <c r="D40" s="50" t="s">
        <v>4</v>
      </c>
      <c r="E40" s="50"/>
      <c r="F40" s="50"/>
      <c r="G40" s="50"/>
      <c r="H40" s="51"/>
      <c r="I40" s="51"/>
      <c r="J40" s="51"/>
      <c r="K40" s="51"/>
      <c r="L40" s="51"/>
      <c r="M40" s="51"/>
      <c r="N40" s="51"/>
      <c r="O40" s="51"/>
      <c r="P40" s="51"/>
      <c r="Q40" s="51"/>
      <c r="R40" s="51"/>
      <c r="S40" s="51"/>
      <c r="T40" s="51"/>
      <c r="U40" s="51"/>
      <c r="V40" s="51"/>
      <c r="W40" s="51"/>
      <c r="Y40" s="51"/>
      <c r="Z40" s="51"/>
      <c r="AA40" s="51"/>
      <c r="AB40" s="51"/>
      <c r="AC40" s="51"/>
      <c r="AD40" s="51"/>
      <c r="AE40" s="51"/>
      <c r="AF40" s="51"/>
      <c r="AG40" s="51"/>
      <c r="AH40" s="51"/>
      <c r="AI40" s="51"/>
      <c r="AJ40" s="51"/>
      <c r="AK40" s="51"/>
    </row>
    <row r="41" spans="1:37" x14ac:dyDescent="0.3">
      <c r="A41" s="50"/>
      <c r="B41" s="50"/>
      <c r="C41" s="50"/>
      <c r="D41" s="50"/>
      <c r="E41" s="50" t="s">
        <v>105</v>
      </c>
      <c r="F41" s="50"/>
      <c r="G41" s="50"/>
      <c r="H41" s="51"/>
      <c r="I41" s="51"/>
      <c r="J41" s="51"/>
      <c r="K41" s="51"/>
      <c r="L41" s="51"/>
      <c r="M41" s="51"/>
      <c r="N41" s="51"/>
      <c r="O41" s="51"/>
      <c r="P41" s="51"/>
      <c r="Q41" s="51"/>
      <c r="R41" s="51"/>
      <c r="S41" s="51"/>
      <c r="T41" s="51"/>
      <c r="U41" s="51"/>
      <c r="V41" s="51"/>
      <c r="W41" s="51"/>
      <c r="Y41" s="51"/>
      <c r="Z41" s="51"/>
      <c r="AA41" s="51"/>
      <c r="AB41" s="51"/>
      <c r="AC41" s="51"/>
      <c r="AD41" s="51"/>
      <c r="AE41" s="51"/>
      <c r="AF41" s="51"/>
      <c r="AG41" s="51"/>
      <c r="AH41" s="51"/>
      <c r="AI41" s="51"/>
      <c r="AJ41" s="51"/>
      <c r="AK41" s="51"/>
    </row>
    <row r="42" spans="1:37" x14ac:dyDescent="0.3">
      <c r="A42" s="50"/>
      <c r="B42" s="50"/>
      <c r="C42" s="50"/>
      <c r="D42" s="50"/>
      <c r="E42" s="50"/>
      <c r="F42" s="50" t="s">
        <v>106</v>
      </c>
      <c r="G42" s="50"/>
      <c r="H42" s="51"/>
      <c r="I42" s="51"/>
      <c r="J42" s="51"/>
      <c r="K42" s="51"/>
      <c r="L42" s="51"/>
      <c r="M42" s="51"/>
      <c r="N42" s="51"/>
      <c r="O42" s="51"/>
      <c r="P42" s="51"/>
      <c r="Q42" s="51"/>
      <c r="R42" s="51"/>
      <c r="S42" s="51"/>
      <c r="T42" s="51"/>
      <c r="U42" s="51"/>
      <c r="V42" s="51"/>
      <c r="W42" s="51"/>
      <c r="Y42" s="51"/>
      <c r="Z42" s="51"/>
      <c r="AA42" s="51"/>
      <c r="AB42" s="51"/>
      <c r="AC42" s="51"/>
      <c r="AD42" s="51"/>
      <c r="AE42" s="51"/>
      <c r="AF42" s="51"/>
      <c r="AG42" s="51"/>
      <c r="AH42" s="51"/>
      <c r="AI42" s="51"/>
      <c r="AJ42" s="51"/>
      <c r="AK42" s="51"/>
    </row>
    <row r="43" spans="1:37" x14ac:dyDescent="0.3">
      <c r="A43" s="50"/>
      <c r="B43" s="50"/>
      <c r="C43" s="50"/>
      <c r="D43" s="50"/>
      <c r="E43" s="50"/>
      <c r="F43" s="50"/>
      <c r="G43" s="50" t="s">
        <v>107</v>
      </c>
      <c r="H43" s="51">
        <v>8772.68</v>
      </c>
      <c r="I43" s="51">
        <v>17294.16</v>
      </c>
      <c r="J43" s="51">
        <v>20600.22</v>
      </c>
      <c r="K43" s="51">
        <v>22987.7</v>
      </c>
      <c r="L43" s="51">
        <v>15845.14</v>
      </c>
      <c r="M43" s="51">
        <v>18074.96</v>
      </c>
      <c r="N43" s="51">
        <v>35615.51</v>
      </c>
      <c r="O43" s="51">
        <v>18384.71</v>
      </c>
      <c r="P43" s="51">
        <v>18295.900000000001</v>
      </c>
      <c r="Q43" s="51">
        <v>27577.57</v>
      </c>
      <c r="R43" s="51">
        <v>18483.97</v>
      </c>
      <c r="S43" s="51">
        <v>21987.85</v>
      </c>
      <c r="T43" s="51"/>
      <c r="U43" s="51">
        <f>ROUND(SUM(H43:T43),5)</f>
        <v>243920.37</v>
      </c>
      <c r="V43" s="67">
        <v>281000</v>
      </c>
      <c r="W43" s="67">
        <v>319000</v>
      </c>
      <c r="X43" s="68" t="s">
        <v>207</v>
      </c>
      <c r="Y43" s="118">
        <f>ROUND($W43*0.044,0)</f>
        <v>14036</v>
      </c>
      <c r="Z43" s="118">
        <f>ROUND($W43*0.073,0)</f>
        <v>23287</v>
      </c>
      <c r="AA43" s="118">
        <f>ROUND($W43*0.073,0)</f>
        <v>23287</v>
      </c>
      <c r="AB43" s="118">
        <f>ROUND($W43*0.11,0)</f>
        <v>35090</v>
      </c>
      <c r="AC43" s="118">
        <f t="shared" ref="AC43:AD43" si="20">ROUND($W43*0.073,0)</f>
        <v>23287</v>
      </c>
      <c r="AD43" s="118">
        <f t="shared" si="20"/>
        <v>23287</v>
      </c>
      <c r="AE43" s="118">
        <f>ROUND($W43*0.13,0)</f>
        <v>41470</v>
      </c>
      <c r="AF43" s="118">
        <f>ROUND($W43*0.073,0)</f>
        <v>23287</v>
      </c>
      <c r="AG43" s="118">
        <f>ROUND($W43*0.073,0)</f>
        <v>23287</v>
      </c>
      <c r="AH43" s="118">
        <f>ROUND($W43*0.11,0)</f>
        <v>35090</v>
      </c>
      <c r="AI43" s="118">
        <f>ROUND($W43*0.073,0)</f>
        <v>23287</v>
      </c>
      <c r="AJ43" s="118">
        <f t="shared" ref="AJ43:AJ46" si="21">W43-Y43-Z43-AA43-AB43-AC43-AD43-AE43-AF43-AG43-AH43-AI43</f>
        <v>30305</v>
      </c>
      <c r="AK43" s="118">
        <f t="shared" ref="AK43:AK46" si="22">SUM(Y43:AJ43)-W43</f>
        <v>0</v>
      </c>
    </row>
    <row r="44" spans="1:37" x14ac:dyDescent="0.3">
      <c r="A44" s="50"/>
      <c r="B44" s="50"/>
      <c r="C44" s="50"/>
      <c r="D44" s="50"/>
      <c r="E44" s="50"/>
      <c r="F44" s="50"/>
      <c r="G44" s="50" t="s">
        <v>108</v>
      </c>
      <c r="H44" s="51">
        <v>0</v>
      </c>
      <c r="I44" s="51">
        <v>0</v>
      </c>
      <c r="J44" s="51">
        <v>0</v>
      </c>
      <c r="K44" s="51">
        <v>0</v>
      </c>
      <c r="L44" s="51">
        <v>0</v>
      </c>
      <c r="M44" s="51">
        <v>6280.13</v>
      </c>
      <c r="N44" s="51">
        <v>0</v>
      </c>
      <c r="O44" s="51">
        <v>0</v>
      </c>
      <c r="P44" s="51">
        <v>0</v>
      </c>
      <c r="Q44" s="51">
        <v>0</v>
      </c>
      <c r="R44" s="51">
        <v>0</v>
      </c>
      <c r="S44" s="51">
        <v>0</v>
      </c>
      <c r="T44" s="51"/>
      <c r="U44" s="51">
        <f>ROUND(SUM(H44:T44),5)</f>
        <v>6280.13</v>
      </c>
      <c r="V44" s="67">
        <v>5000</v>
      </c>
      <c r="W44" s="67">
        <v>6500</v>
      </c>
      <c r="X44" s="68" t="s">
        <v>207</v>
      </c>
      <c r="Y44" s="118">
        <v>0</v>
      </c>
      <c r="Z44" s="118">
        <v>0</v>
      </c>
      <c r="AA44" s="118">
        <v>0</v>
      </c>
      <c r="AB44" s="118">
        <v>0</v>
      </c>
      <c r="AC44" s="118">
        <v>0</v>
      </c>
      <c r="AD44" s="118">
        <f>ROUND($W44/1,0)</f>
        <v>6500</v>
      </c>
      <c r="AE44" s="118">
        <v>0</v>
      </c>
      <c r="AF44" s="118">
        <v>0</v>
      </c>
      <c r="AG44" s="118">
        <v>0</v>
      </c>
      <c r="AH44" s="118">
        <v>0</v>
      </c>
      <c r="AI44" s="118">
        <v>0</v>
      </c>
      <c r="AJ44" s="118">
        <f t="shared" si="21"/>
        <v>0</v>
      </c>
      <c r="AK44" s="118">
        <f t="shared" si="22"/>
        <v>0</v>
      </c>
    </row>
    <row r="45" spans="1:37" ht="21.6" x14ac:dyDescent="0.3">
      <c r="A45" s="50"/>
      <c r="B45" s="50"/>
      <c r="C45" s="50"/>
      <c r="D45" s="50"/>
      <c r="E45" s="50"/>
      <c r="F45" s="50"/>
      <c r="G45" s="50" t="s">
        <v>276</v>
      </c>
      <c r="H45" s="51">
        <v>0</v>
      </c>
      <c r="I45" s="51">
        <v>0</v>
      </c>
      <c r="J45" s="51">
        <v>0</v>
      </c>
      <c r="K45" s="51">
        <v>0</v>
      </c>
      <c r="L45" s="51">
        <v>0</v>
      </c>
      <c r="M45" s="51">
        <v>0</v>
      </c>
      <c r="N45" s="51">
        <v>0</v>
      </c>
      <c r="O45" s="51">
        <v>0</v>
      </c>
      <c r="P45" s="51">
        <v>0</v>
      </c>
      <c r="Q45" s="51">
        <v>0</v>
      </c>
      <c r="R45" s="51">
        <v>0</v>
      </c>
      <c r="S45" s="51">
        <v>0</v>
      </c>
      <c r="T45" s="51"/>
      <c r="U45" s="51">
        <f>ROUND(SUM(H45:T45),5)</f>
        <v>0</v>
      </c>
      <c r="V45" s="67">
        <v>5500</v>
      </c>
      <c r="W45" s="67">
        <v>0</v>
      </c>
      <c r="X45" s="68" t="s">
        <v>305</v>
      </c>
      <c r="Y45" s="67">
        <v>0</v>
      </c>
      <c r="Z45" s="67">
        <v>0</v>
      </c>
      <c r="AA45" s="67">
        <v>0</v>
      </c>
      <c r="AB45" s="67">
        <v>0</v>
      </c>
      <c r="AC45" s="67">
        <v>0</v>
      </c>
      <c r="AD45" s="67">
        <f>ROUND($W45/1,0)</f>
        <v>0</v>
      </c>
      <c r="AE45" s="67">
        <v>0</v>
      </c>
      <c r="AF45" s="67">
        <v>0</v>
      </c>
      <c r="AG45" s="67">
        <v>0</v>
      </c>
      <c r="AH45" s="67">
        <v>0</v>
      </c>
      <c r="AI45" s="67">
        <v>0</v>
      </c>
      <c r="AJ45" s="67">
        <f t="shared" si="21"/>
        <v>0</v>
      </c>
      <c r="AK45" s="67">
        <f t="shared" si="22"/>
        <v>0</v>
      </c>
    </row>
    <row r="46" spans="1:37" ht="15" thickBot="1" x14ac:dyDescent="0.35">
      <c r="A46" s="50"/>
      <c r="B46" s="50"/>
      <c r="C46" s="50"/>
      <c r="D46" s="50"/>
      <c r="E46" s="50"/>
      <c r="F46" s="50"/>
      <c r="G46" s="50" t="s">
        <v>109</v>
      </c>
      <c r="H46" s="52">
        <v>35.64</v>
      </c>
      <c r="I46" s="52">
        <v>35.64</v>
      </c>
      <c r="J46" s="52">
        <v>35.64</v>
      </c>
      <c r="K46" s="52">
        <v>35.64</v>
      </c>
      <c r="L46" s="52">
        <v>35.64</v>
      </c>
      <c r="M46" s="52">
        <v>35.64</v>
      </c>
      <c r="N46" s="52">
        <v>35.64</v>
      </c>
      <c r="O46" s="52">
        <v>35.64</v>
      </c>
      <c r="P46" s="52">
        <v>35.64</v>
      </c>
      <c r="Q46" s="52">
        <v>35.64</v>
      </c>
      <c r="R46" s="52">
        <v>35.64</v>
      </c>
      <c r="S46" s="52">
        <v>35.64</v>
      </c>
      <c r="T46" s="52"/>
      <c r="U46" s="52">
        <f>ROUND(SUM(H46:T46),5)</f>
        <v>427.68</v>
      </c>
      <c r="V46" s="69">
        <v>450</v>
      </c>
      <c r="W46" s="69">
        <v>450</v>
      </c>
      <c r="X46" s="68" t="s">
        <v>207</v>
      </c>
      <c r="Y46" s="69">
        <f t="shared" ref="Y46:AI46" si="23">ROUND($W46/12,0)</f>
        <v>38</v>
      </c>
      <c r="Z46" s="69">
        <f t="shared" si="23"/>
        <v>38</v>
      </c>
      <c r="AA46" s="69">
        <f t="shared" si="23"/>
        <v>38</v>
      </c>
      <c r="AB46" s="69">
        <f t="shared" si="23"/>
        <v>38</v>
      </c>
      <c r="AC46" s="69">
        <f t="shared" si="23"/>
        <v>38</v>
      </c>
      <c r="AD46" s="69">
        <f t="shared" si="23"/>
        <v>38</v>
      </c>
      <c r="AE46" s="69">
        <f t="shared" si="23"/>
        <v>38</v>
      </c>
      <c r="AF46" s="69">
        <f t="shared" si="23"/>
        <v>38</v>
      </c>
      <c r="AG46" s="69">
        <f t="shared" si="23"/>
        <v>38</v>
      </c>
      <c r="AH46" s="69">
        <f t="shared" si="23"/>
        <v>38</v>
      </c>
      <c r="AI46" s="69">
        <f t="shared" si="23"/>
        <v>38</v>
      </c>
      <c r="AJ46" s="69">
        <f t="shared" si="21"/>
        <v>32</v>
      </c>
      <c r="AK46" s="69">
        <f t="shared" si="22"/>
        <v>0</v>
      </c>
    </row>
    <row r="47" spans="1:37" x14ac:dyDescent="0.3">
      <c r="A47" s="50"/>
      <c r="B47" s="50"/>
      <c r="C47" s="50"/>
      <c r="D47" s="50"/>
      <c r="E47" s="50"/>
      <c r="F47" s="50" t="s">
        <v>110</v>
      </c>
      <c r="G47" s="50"/>
      <c r="H47" s="51">
        <f t="shared" ref="H47:S47" si="24">ROUND(SUM(H42:H46),5)</f>
        <v>8808.32</v>
      </c>
      <c r="I47" s="51">
        <f t="shared" si="24"/>
        <v>17329.8</v>
      </c>
      <c r="J47" s="51">
        <f t="shared" si="24"/>
        <v>20635.86</v>
      </c>
      <c r="K47" s="51">
        <f t="shared" si="24"/>
        <v>23023.34</v>
      </c>
      <c r="L47" s="51">
        <f t="shared" si="24"/>
        <v>15880.78</v>
      </c>
      <c r="M47" s="51">
        <f t="shared" si="24"/>
        <v>24390.73</v>
      </c>
      <c r="N47" s="51">
        <f t="shared" si="24"/>
        <v>35651.15</v>
      </c>
      <c r="O47" s="51">
        <f t="shared" si="24"/>
        <v>18420.349999999999</v>
      </c>
      <c r="P47" s="51">
        <f t="shared" si="24"/>
        <v>18331.54</v>
      </c>
      <c r="Q47" s="51">
        <f t="shared" si="24"/>
        <v>27613.21</v>
      </c>
      <c r="R47" s="51">
        <f t="shared" si="24"/>
        <v>18519.61</v>
      </c>
      <c r="S47" s="51">
        <f t="shared" si="24"/>
        <v>22023.49</v>
      </c>
      <c r="T47" s="51"/>
      <c r="U47" s="51">
        <f>ROUND(SUM(H47:T47),5)</f>
        <v>250628.18</v>
      </c>
      <c r="V47" s="51">
        <f>ROUND(SUM(V42:V46),5)</f>
        <v>291950</v>
      </c>
      <c r="W47" s="51">
        <f>ROUND(SUM(W42:W46),5)</f>
        <v>325950</v>
      </c>
      <c r="Y47" s="51">
        <f t="shared" ref="Y47:AI47" si="25">ROUND($W48/12,0)</f>
        <v>0</v>
      </c>
      <c r="Z47" s="51">
        <f t="shared" si="25"/>
        <v>0</v>
      </c>
      <c r="AA47" s="51">
        <f t="shared" si="25"/>
        <v>0</v>
      </c>
      <c r="AB47" s="51">
        <f t="shared" si="25"/>
        <v>0</v>
      </c>
      <c r="AC47" s="51">
        <f t="shared" si="25"/>
        <v>0</v>
      </c>
      <c r="AD47" s="51">
        <f t="shared" si="25"/>
        <v>0</v>
      </c>
      <c r="AE47" s="51">
        <f t="shared" si="25"/>
        <v>0</v>
      </c>
      <c r="AF47" s="51">
        <f t="shared" si="25"/>
        <v>0</v>
      </c>
      <c r="AG47" s="51">
        <f t="shared" si="25"/>
        <v>0</v>
      </c>
      <c r="AH47" s="51">
        <f t="shared" si="25"/>
        <v>0</v>
      </c>
      <c r="AI47" s="51">
        <f t="shared" si="25"/>
        <v>0</v>
      </c>
      <c r="AJ47" s="51" t="e">
        <f>#REF!-Y47-Z47-AA47-AB47-AC47-AD47-AE47-AF47-AG47-AH47-AI47</f>
        <v>#REF!</v>
      </c>
      <c r="AK47" s="51" t="e">
        <f>SUM(Y47:AJ47)-#REF!</f>
        <v>#REF!</v>
      </c>
    </row>
    <row r="48" spans="1:37" x14ac:dyDescent="0.3">
      <c r="A48" s="50"/>
      <c r="B48" s="50"/>
      <c r="C48" s="50"/>
      <c r="D48" s="50"/>
      <c r="E48" s="50"/>
      <c r="F48" s="50"/>
      <c r="G48" s="50"/>
      <c r="H48" s="51"/>
      <c r="I48" s="51"/>
      <c r="J48" s="51"/>
      <c r="K48" s="51"/>
      <c r="L48" s="51"/>
      <c r="M48" s="51"/>
      <c r="N48" s="51"/>
      <c r="O48" s="51"/>
      <c r="P48" s="51"/>
      <c r="Q48" s="51"/>
      <c r="R48" s="51"/>
      <c r="S48" s="51"/>
      <c r="T48" s="51"/>
      <c r="U48" s="51"/>
      <c r="V48" s="51"/>
      <c r="W48" s="51"/>
      <c r="Y48" s="51"/>
      <c r="Z48" s="51"/>
      <c r="AA48" s="51"/>
      <c r="AB48" s="51"/>
      <c r="AC48" s="51"/>
      <c r="AD48" s="51"/>
      <c r="AE48" s="51"/>
      <c r="AF48" s="51"/>
      <c r="AG48" s="51"/>
      <c r="AH48" s="51"/>
      <c r="AI48" s="51"/>
      <c r="AJ48" s="51"/>
      <c r="AK48" s="51"/>
    </row>
    <row r="49" spans="1:37" x14ac:dyDescent="0.3">
      <c r="A49" s="50"/>
      <c r="B49" s="50"/>
      <c r="C49" s="50"/>
      <c r="D49" s="50"/>
      <c r="E49" s="50"/>
      <c r="F49" s="50"/>
      <c r="G49" s="50"/>
      <c r="H49" s="51"/>
      <c r="I49" s="51"/>
      <c r="J49" s="51"/>
      <c r="K49" s="51"/>
      <c r="L49" s="51"/>
      <c r="M49" s="51"/>
      <c r="N49" s="51"/>
      <c r="O49" s="51"/>
      <c r="P49" s="51"/>
      <c r="Q49" s="51"/>
      <c r="R49" s="51"/>
      <c r="S49" s="51"/>
      <c r="T49" s="51"/>
      <c r="U49" s="51"/>
      <c r="V49" s="51"/>
      <c r="W49" s="51"/>
      <c r="Y49" s="51"/>
      <c r="Z49" s="51"/>
      <c r="AA49" s="51"/>
      <c r="AB49" s="51"/>
      <c r="AC49" s="51"/>
      <c r="AD49" s="51"/>
      <c r="AE49" s="51"/>
      <c r="AF49" s="51"/>
      <c r="AG49" s="51"/>
      <c r="AH49" s="51"/>
      <c r="AI49" s="51"/>
      <c r="AJ49" s="51"/>
      <c r="AK49" s="51"/>
    </row>
    <row r="50" spans="1:37" x14ac:dyDescent="0.3">
      <c r="A50" s="50"/>
      <c r="B50" s="50"/>
      <c r="C50" s="50"/>
      <c r="D50" s="50"/>
      <c r="E50" s="50"/>
      <c r="F50" s="50" t="s">
        <v>277</v>
      </c>
      <c r="G50" s="50"/>
      <c r="H50" s="51"/>
      <c r="I50" s="51"/>
      <c r="J50" s="51"/>
      <c r="K50" s="51"/>
      <c r="L50" s="51"/>
      <c r="M50" s="51"/>
      <c r="N50" s="51"/>
      <c r="O50" s="51"/>
      <c r="P50" s="51"/>
      <c r="Q50" s="51"/>
      <c r="R50" s="51"/>
      <c r="S50" s="51"/>
      <c r="T50" s="51"/>
      <c r="U50" s="51"/>
      <c r="V50" s="51"/>
      <c r="W50" s="51"/>
      <c r="Y50" s="51"/>
      <c r="Z50" s="51"/>
      <c r="AA50" s="51"/>
      <c r="AB50" s="51"/>
      <c r="AC50" s="51"/>
      <c r="AD50" s="51"/>
      <c r="AE50" s="51"/>
      <c r="AF50" s="51"/>
      <c r="AG50" s="51"/>
      <c r="AH50" s="51"/>
      <c r="AI50" s="51"/>
      <c r="AJ50" s="51"/>
      <c r="AK50" s="51"/>
    </row>
    <row r="51" spans="1:37" ht="15" thickBot="1" x14ac:dyDescent="0.35">
      <c r="A51" s="50"/>
      <c r="B51" s="50"/>
      <c r="C51" s="50"/>
      <c r="D51" s="50"/>
      <c r="E51" s="50"/>
      <c r="F51" s="50"/>
      <c r="G51" s="50" t="s">
        <v>212</v>
      </c>
      <c r="H51" s="52">
        <v>0</v>
      </c>
      <c r="I51" s="52">
        <v>0</v>
      </c>
      <c r="J51" s="52">
        <v>0</v>
      </c>
      <c r="K51" s="52">
        <v>1254.4000000000001</v>
      </c>
      <c r="L51" s="52">
        <v>851.2</v>
      </c>
      <c r="M51" s="52">
        <v>0</v>
      </c>
      <c r="N51" s="52">
        <v>0</v>
      </c>
      <c r="O51" s="52">
        <v>0</v>
      </c>
      <c r="P51" s="52">
        <v>0</v>
      </c>
      <c r="Q51" s="52">
        <v>0</v>
      </c>
      <c r="R51" s="52">
        <v>0</v>
      </c>
      <c r="S51" s="52">
        <v>0</v>
      </c>
      <c r="T51" s="52"/>
      <c r="U51" s="52">
        <f>ROUND(SUM(H51:T51),5)</f>
        <v>2105.6</v>
      </c>
      <c r="V51" s="52">
        <v>43680</v>
      </c>
      <c r="W51" s="52">
        <v>0</v>
      </c>
      <c r="X51" s="68" t="s">
        <v>297</v>
      </c>
      <c r="Y51" s="52">
        <f t="shared" ref="Y51:AI59" si="26">ROUND($W51/12,0)</f>
        <v>0</v>
      </c>
      <c r="Z51" s="52">
        <f t="shared" si="26"/>
        <v>0</v>
      </c>
      <c r="AA51" s="52">
        <f t="shared" si="26"/>
        <v>0</v>
      </c>
      <c r="AB51" s="52">
        <f t="shared" si="26"/>
        <v>0</v>
      </c>
      <c r="AC51" s="52">
        <f t="shared" si="26"/>
        <v>0</v>
      </c>
      <c r="AD51" s="52">
        <f t="shared" si="26"/>
        <v>0</v>
      </c>
      <c r="AE51" s="52">
        <f t="shared" si="26"/>
        <v>0</v>
      </c>
      <c r="AF51" s="52">
        <f t="shared" si="26"/>
        <v>0</v>
      </c>
      <c r="AG51" s="52">
        <f t="shared" si="26"/>
        <v>0</v>
      </c>
      <c r="AH51" s="52">
        <f t="shared" si="26"/>
        <v>0</v>
      </c>
      <c r="AI51" s="52">
        <f t="shared" si="26"/>
        <v>0</v>
      </c>
      <c r="AJ51" s="52">
        <f t="shared" ref="AJ51" si="27">W51-Y51-Z51-AA51-AB51-AC51-AD51-AE51-AF51-AG51-AH51-AI51</f>
        <v>0</v>
      </c>
      <c r="AK51" s="52">
        <f t="shared" ref="AK51" si="28">SUM(Y51:AJ51)-W51</f>
        <v>0</v>
      </c>
    </row>
    <row r="52" spans="1:37" x14ac:dyDescent="0.3">
      <c r="A52" s="50"/>
      <c r="B52" s="50"/>
      <c r="C52" s="50"/>
      <c r="D52" s="50"/>
      <c r="E52" s="50"/>
      <c r="F52" s="50" t="s">
        <v>278</v>
      </c>
      <c r="G52" s="50"/>
      <c r="H52" s="51">
        <f t="shared" ref="H52:P52" si="29">ROUND(SUM(H50:H51),5)</f>
        <v>0</v>
      </c>
      <c r="I52" s="51">
        <f t="shared" si="29"/>
        <v>0</v>
      </c>
      <c r="J52" s="51">
        <f t="shared" si="29"/>
        <v>0</v>
      </c>
      <c r="K52" s="51">
        <f t="shared" si="29"/>
        <v>1254.4000000000001</v>
      </c>
      <c r="L52" s="51">
        <f t="shared" si="29"/>
        <v>851.2</v>
      </c>
      <c r="M52" s="51">
        <f t="shared" si="29"/>
        <v>0</v>
      </c>
      <c r="N52" s="51">
        <f t="shared" si="29"/>
        <v>0</v>
      </c>
      <c r="O52" s="51">
        <f t="shared" si="29"/>
        <v>0</v>
      </c>
      <c r="P52" s="51">
        <f t="shared" si="29"/>
        <v>0</v>
      </c>
      <c r="Q52" s="51">
        <f>ROUND(SUM(Q50:Q51),5)</f>
        <v>0</v>
      </c>
      <c r="R52" s="51">
        <f>ROUND(SUM(R50:R51),5)</f>
        <v>0</v>
      </c>
      <c r="S52" s="51">
        <f>ROUND(SUM(S50:S51),5)</f>
        <v>0</v>
      </c>
      <c r="T52" s="51"/>
      <c r="U52" s="51">
        <f>ROUND(SUM(H52:T52),5)</f>
        <v>2105.6</v>
      </c>
      <c r="V52" s="51">
        <f>ROUND(SUM(V50:V51),5)</f>
        <v>43680</v>
      </c>
      <c r="W52" s="51">
        <f>ROUND(SUM(W50:W51),5)</f>
        <v>0</v>
      </c>
      <c r="Y52" s="51"/>
      <c r="Z52" s="51"/>
      <c r="AA52" s="51"/>
      <c r="AB52" s="51"/>
      <c r="AC52" s="51"/>
      <c r="AD52" s="51"/>
      <c r="AE52" s="51"/>
      <c r="AF52" s="51"/>
      <c r="AG52" s="51"/>
      <c r="AH52" s="51"/>
      <c r="AI52" s="51"/>
      <c r="AJ52" s="51"/>
      <c r="AK52" s="51"/>
    </row>
    <row r="53" spans="1:37" x14ac:dyDescent="0.3">
      <c r="A53" s="50"/>
      <c r="B53" s="50"/>
      <c r="C53" s="50"/>
      <c r="D53" s="50"/>
      <c r="E53" s="50"/>
      <c r="F53" s="50" t="s">
        <v>111</v>
      </c>
      <c r="G53" s="50"/>
      <c r="H53" s="51"/>
      <c r="I53" s="51"/>
      <c r="J53" s="51"/>
      <c r="K53" s="51"/>
      <c r="L53" s="51"/>
      <c r="M53" s="51"/>
      <c r="N53" s="51"/>
      <c r="O53" s="51"/>
      <c r="P53" s="51"/>
      <c r="Q53" s="51"/>
      <c r="R53" s="51"/>
      <c r="S53" s="51"/>
      <c r="T53" s="51"/>
      <c r="U53" s="51"/>
      <c r="V53" s="51"/>
      <c r="W53" s="51"/>
      <c r="Y53" s="51"/>
      <c r="Z53" s="51"/>
      <c r="AA53" s="51"/>
      <c r="AB53" s="51"/>
      <c r="AC53" s="51"/>
      <c r="AD53" s="51"/>
      <c r="AE53" s="51"/>
      <c r="AF53" s="51"/>
      <c r="AG53" s="51"/>
      <c r="AH53" s="51"/>
      <c r="AI53" s="51"/>
      <c r="AJ53" s="51"/>
      <c r="AK53" s="51"/>
    </row>
    <row r="54" spans="1:37" x14ac:dyDescent="0.3">
      <c r="A54" s="50"/>
      <c r="B54" s="50"/>
      <c r="C54" s="50"/>
      <c r="D54" s="50"/>
      <c r="E54" s="50"/>
      <c r="F54" s="50"/>
      <c r="G54" s="50" t="s">
        <v>112</v>
      </c>
      <c r="H54" s="51">
        <v>1363.28</v>
      </c>
      <c r="I54" s="51">
        <v>1867.01</v>
      </c>
      <c r="J54" s="51">
        <v>656.6</v>
      </c>
      <c r="K54" s="51">
        <v>1950.84</v>
      </c>
      <c r="L54" s="51">
        <v>1313.48</v>
      </c>
      <c r="M54" s="51">
        <v>1320.95</v>
      </c>
      <c r="N54" s="51">
        <v>1321.44</v>
      </c>
      <c r="O54" s="51">
        <v>1329.6</v>
      </c>
      <c r="P54" s="51">
        <v>1319.97</v>
      </c>
      <c r="Q54" s="51">
        <v>1985.98</v>
      </c>
      <c r="R54" s="51">
        <v>1328.89</v>
      </c>
      <c r="S54" s="51">
        <v>1197.02</v>
      </c>
      <c r="T54" s="51"/>
      <c r="U54" s="51">
        <f>ROUND(SUM(H54:T54),5)</f>
        <v>16955.060000000001</v>
      </c>
      <c r="V54" s="51">
        <v>21000</v>
      </c>
      <c r="W54" s="51">
        <v>23500</v>
      </c>
      <c r="X54" s="68" t="s">
        <v>207</v>
      </c>
      <c r="Y54" s="51">
        <f t="shared" si="26"/>
        <v>1958</v>
      </c>
      <c r="Z54" s="51">
        <f t="shared" si="26"/>
        <v>1958</v>
      </c>
      <c r="AA54" s="51">
        <f t="shared" si="26"/>
        <v>1958</v>
      </c>
      <c r="AB54" s="51">
        <f t="shared" si="26"/>
        <v>1958</v>
      </c>
      <c r="AC54" s="51">
        <f t="shared" si="26"/>
        <v>1958</v>
      </c>
      <c r="AD54" s="51">
        <f t="shared" si="26"/>
        <v>1958</v>
      </c>
      <c r="AE54" s="51">
        <f t="shared" si="26"/>
        <v>1958</v>
      </c>
      <c r="AF54" s="51">
        <f t="shared" si="26"/>
        <v>1958</v>
      </c>
      <c r="AG54" s="51">
        <f t="shared" si="26"/>
        <v>1958</v>
      </c>
      <c r="AH54" s="51">
        <f t="shared" si="26"/>
        <v>1958</v>
      </c>
      <c r="AI54" s="51">
        <f t="shared" si="26"/>
        <v>1958</v>
      </c>
      <c r="AJ54" s="51">
        <f t="shared" ref="AJ54:AJ55" si="30">W54-Y54-Z54-AA54-AB54-AC54-AD54-AE54-AF54-AG54-AH54-AI54</f>
        <v>1962</v>
      </c>
      <c r="AK54" s="51">
        <f t="shared" ref="AK54:AK55" si="31">SUM(Y54:AJ54)-W54</f>
        <v>0</v>
      </c>
    </row>
    <row r="55" spans="1:37" ht="15" thickBot="1" x14ac:dyDescent="0.35">
      <c r="A55" s="50"/>
      <c r="B55" s="50"/>
      <c r="C55" s="50"/>
      <c r="D55" s="50"/>
      <c r="E55" s="50"/>
      <c r="F55" s="50"/>
      <c r="G55" s="50" t="s">
        <v>113</v>
      </c>
      <c r="H55" s="52">
        <v>0</v>
      </c>
      <c r="I55" s="52">
        <v>626.04</v>
      </c>
      <c r="J55" s="52">
        <v>-626.04</v>
      </c>
      <c r="K55" s="52">
        <v>0</v>
      </c>
      <c r="L55" s="52">
        <v>0</v>
      </c>
      <c r="M55" s="52">
        <v>0</v>
      </c>
      <c r="N55" s="52">
        <v>0</v>
      </c>
      <c r="O55" s="52">
        <v>0</v>
      </c>
      <c r="P55" s="52">
        <v>0</v>
      </c>
      <c r="Q55" s="52">
        <v>0</v>
      </c>
      <c r="R55" s="52">
        <v>0</v>
      </c>
      <c r="S55" s="52">
        <v>0</v>
      </c>
      <c r="T55" s="52"/>
      <c r="U55" s="52">
        <f>ROUND(SUM(H55:T55),5)</f>
        <v>0</v>
      </c>
      <c r="V55" s="52">
        <v>0</v>
      </c>
      <c r="W55" s="52">
        <v>0</v>
      </c>
      <c r="Y55" s="52">
        <f t="shared" si="26"/>
        <v>0</v>
      </c>
      <c r="Z55" s="52">
        <f t="shared" si="26"/>
        <v>0</v>
      </c>
      <c r="AA55" s="52">
        <f t="shared" si="26"/>
        <v>0</v>
      </c>
      <c r="AB55" s="52">
        <f t="shared" si="26"/>
        <v>0</v>
      </c>
      <c r="AC55" s="52">
        <f t="shared" si="26"/>
        <v>0</v>
      </c>
      <c r="AD55" s="52">
        <f t="shared" si="26"/>
        <v>0</v>
      </c>
      <c r="AE55" s="52">
        <f t="shared" si="26"/>
        <v>0</v>
      </c>
      <c r="AF55" s="52">
        <f t="shared" si="26"/>
        <v>0</v>
      </c>
      <c r="AG55" s="52">
        <f t="shared" si="26"/>
        <v>0</v>
      </c>
      <c r="AH55" s="52">
        <f t="shared" si="26"/>
        <v>0</v>
      </c>
      <c r="AI55" s="52">
        <f t="shared" si="26"/>
        <v>0</v>
      </c>
      <c r="AJ55" s="52">
        <f t="shared" si="30"/>
        <v>0</v>
      </c>
      <c r="AK55" s="52">
        <f t="shared" si="31"/>
        <v>0</v>
      </c>
    </row>
    <row r="56" spans="1:37" x14ac:dyDescent="0.3">
      <c r="A56" s="50"/>
      <c r="B56" s="50"/>
      <c r="C56" s="50"/>
      <c r="D56" s="50"/>
      <c r="E56" s="50"/>
      <c r="F56" s="50" t="s">
        <v>114</v>
      </c>
      <c r="G56" s="50"/>
      <c r="H56" s="51">
        <f t="shared" ref="H56:P56" si="32">ROUND(SUM(H53:H55),5)</f>
        <v>1363.28</v>
      </c>
      <c r="I56" s="51">
        <f t="shared" si="32"/>
        <v>2493.0500000000002</v>
      </c>
      <c r="J56" s="51">
        <f t="shared" si="32"/>
        <v>30.56</v>
      </c>
      <c r="K56" s="51">
        <f t="shared" si="32"/>
        <v>1950.84</v>
      </c>
      <c r="L56" s="51">
        <f t="shared" si="32"/>
        <v>1313.48</v>
      </c>
      <c r="M56" s="51">
        <f t="shared" si="32"/>
        <v>1320.95</v>
      </c>
      <c r="N56" s="51">
        <f t="shared" si="32"/>
        <v>1321.44</v>
      </c>
      <c r="O56" s="51">
        <f t="shared" si="32"/>
        <v>1329.6</v>
      </c>
      <c r="P56" s="51">
        <f t="shared" si="32"/>
        <v>1319.97</v>
      </c>
      <c r="Q56" s="51">
        <f>ROUND(SUM(Q53:Q55),5)</f>
        <v>1985.98</v>
      </c>
      <c r="R56" s="51">
        <f>ROUND(SUM(R53:R55),5)</f>
        <v>1328.89</v>
      </c>
      <c r="S56" s="51">
        <f>ROUND(SUM(S53:S55),5)</f>
        <v>1197.02</v>
      </c>
      <c r="T56" s="51"/>
      <c r="U56" s="51">
        <f>ROUND(SUM(H56:T56),5)</f>
        <v>16955.060000000001</v>
      </c>
      <c r="V56" s="51">
        <f>ROUND(SUM(V53:V55),5)</f>
        <v>21000</v>
      </c>
      <c r="W56" s="51">
        <f>ROUND(SUM(W53:W55),5)</f>
        <v>23500</v>
      </c>
      <c r="Y56" s="51"/>
      <c r="Z56" s="51"/>
      <c r="AA56" s="51"/>
      <c r="AB56" s="51"/>
      <c r="AC56" s="51"/>
      <c r="AD56" s="51"/>
      <c r="AE56" s="51"/>
      <c r="AF56" s="51"/>
      <c r="AG56" s="51"/>
      <c r="AH56" s="51"/>
      <c r="AI56" s="51"/>
      <c r="AJ56" s="51"/>
      <c r="AK56" s="51"/>
    </row>
    <row r="57" spans="1:37" x14ac:dyDescent="0.3">
      <c r="A57" s="50"/>
      <c r="B57" s="50"/>
      <c r="C57" s="50"/>
      <c r="D57" s="50"/>
      <c r="E57" s="50"/>
      <c r="F57" s="50" t="s">
        <v>115</v>
      </c>
      <c r="G57" s="50"/>
      <c r="H57" s="51"/>
      <c r="I57" s="51"/>
      <c r="J57" s="51"/>
      <c r="K57" s="51"/>
      <c r="L57" s="51"/>
      <c r="M57" s="51"/>
      <c r="N57" s="51"/>
      <c r="O57" s="51"/>
      <c r="P57" s="51"/>
      <c r="Q57" s="51"/>
      <c r="R57" s="51"/>
      <c r="S57" s="51"/>
      <c r="T57" s="51"/>
      <c r="U57" s="51"/>
      <c r="V57" s="51"/>
      <c r="W57" s="51"/>
      <c r="Y57" s="51"/>
      <c r="Z57" s="51"/>
      <c r="AA57" s="51"/>
      <c r="AB57" s="51"/>
      <c r="AC57" s="51"/>
      <c r="AD57" s="51"/>
      <c r="AE57" s="51"/>
      <c r="AF57" s="51"/>
      <c r="AG57" s="51"/>
      <c r="AH57" s="51"/>
      <c r="AI57" s="51"/>
      <c r="AJ57" s="51"/>
      <c r="AK57" s="51"/>
    </row>
    <row r="58" spans="1:37" x14ac:dyDescent="0.3">
      <c r="A58" s="50"/>
      <c r="B58" s="50"/>
      <c r="C58" s="50"/>
      <c r="D58" s="50"/>
      <c r="E58" s="50"/>
      <c r="F58" s="50"/>
      <c r="G58" s="50" t="s">
        <v>116</v>
      </c>
      <c r="H58" s="51">
        <v>543.91</v>
      </c>
      <c r="I58" s="51">
        <v>1118.73</v>
      </c>
      <c r="J58" s="51">
        <v>1323.72</v>
      </c>
      <c r="K58" s="51">
        <v>1471.73</v>
      </c>
      <c r="L58" s="51">
        <v>1019.6</v>
      </c>
      <c r="M58" s="51">
        <v>1547.22</v>
      </c>
      <c r="N58" s="51">
        <v>2208.17</v>
      </c>
      <c r="O58" s="51">
        <v>1186.3499999999999</v>
      </c>
      <c r="P58" s="51">
        <v>1171.55</v>
      </c>
      <c r="Q58" s="51">
        <v>1756.31</v>
      </c>
      <c r="R58" s="51">
        <v>1192.5</v>
      </c>
      <c r="S58" s="51">
        <v>1929.56</v>
      </c>
      <c r="T58" s="51"/>
      <c r="U58" s="51">
        <f>ROUND(SUM(H58:T58),5)</f>
        <v>16469.349999999999</v>
      </c>
      <c r="V58" s="51">
        <v>18771</v>
      </c>
      <c r="W58" s="51">
        <v>21500</v>
      </c>
      <c r="X58" s="68" t="s">
        <v>208</v>
      </c>
      <c r="Y58" s="51">
        <f t="shared" si="26"/>
        <v>1792</v>
      </c>
      <c r="Z58" s="51">
        <f t="shared" si="26"/>
        <v>1792</v>
      </c>
      <c r="AA58" s="51">
        <f t="shared" si="26"/>
        <v>1792</v>
      </c>
      <c r="AB58" s="51">
        <f t="shared" si="26"/>
        <v>1792</v>
      </c>
      <c r="AC58" s="51">
        <f t="shared" si="26"/>
        <v>1792</v>
      </c>
      <c r="AD58" s="51">
        <f t="shared" si="26"/>
        <v>1792</v>
      </c>
      <c r="AE58" s="51">
        <f t="shared" si="26"/>
        <v>1792</v>
      </c>
      <c r="AF58" s="51">
        <f t="shared" si="26"/>
        <v>1792</v>
      </c>
      <c r="AG58" s="51">
        <f t="shared" si="26"/>
        <v>1792</v>
      </c>
      <c r="AH58" s="51">
        <f t="shared" si="26"/>
        <v>1792</v>
      </c>
      <c r="AI58" s="51">
        <f t="shared" si="26"/>
        <v>1792</v>
      </c>
      <c r="AJ58" s="51">
        <f t="shared" ref="AJ58:AJ59" si="33">W58-Y58-Z58-AA58-AB58-AC58-AD58-AE58-AF58-AG58-AH58-AI58</f>
        <v>1788</v>
      </c>
      <c r="AK58" s="51">
        <f t="shared" ref="AK58:AK59" si="34">SUM(Y58:AJ58)-W58</f>
        <v>0</v>
      </c>
    </row>
    <row r="59" spans="1:37" ht="15" thickBot="1" x14ac:dyDescent="0.35">
      <c r="A59" s="50"/>
      <c r="B59" s="50"/>
      <c r="C59" s="50"/>
      <c r="D59" s="50"/>
      <c r="E59" s="50"/>
      <c r="F59" s="50"/>
      <c r="G59" s="50" t="s">
        <v>117</v>
      </c>
      <c r="H59" s="52">
        <v>127.2</v>
      </c>
      <c r="I59" s="52">
        <v>261.66000000000003</v>
      </c>
      <c r="J59" s="52">
        <v>309.60000000000002</v>
      </c>
      <c r="K59" s="52">
        <v>344.23</v>
      </c>
      <c r="L59" s="52">
        <v>238.47</v>
      </c>
      <c r="M59" s="52">
        <v>361.87</v>
      </c>
      <c r="N59" s="52">
        <v>516.42999999999995</v>
      </c>
      <c r="O59" s="52">
        <v>277.47000000000003</v>
      </c>
      <c r="P59" s="52">
        <v>274.01</v>
      </c>
      <c r="Q59" s="52">
        <v>410.79</v>
      </c>
      <c r="R59" s="52">
        <v>278.92</v>
      </c>
      <c r="S59" s="52">
        <v>451.33</v>
      </c>
      <c r="T59" s="52"/>
      <c r="U59" s="52">
        <f>ROUND(SUM(H59:T59),5)</f>
        <v>3851.98</v>
      </c>
      <c r="V59" s="52">
        <v>4390</v>
      </c>
      <c r="W59" s="52">
        <v>5000</v>
      </c>
      <c r="X59" s="68" t="s">
        <v>208</v>
      </c>
      <c r="Y59" s="52">
        <f t="shared" si="26"/>
        <v>417</v>
      </c>
      <c r="Z59" s="52">
        <f t="shared" si="26"/>
        <v>417</v>
      </c>
      <c r="AA59" s="52">
        <f t="shared" si="26"/>
        <v>417</v>
      </c>
      <c r="AB59" s="52">
        <f t="shared" si="26"/>
        <v>417</v>
      </c>
      <c r="AC59" s="52">
        <f t="shared" si="26"/>
        <v>417</v>
      </c>
      <c r="AD59" s="52">
        <f t="shared" si="26"/>
        <v>417</v>
      </c>
      <c r="AE59" s="52">
        <f t="shared" si="26"/>
        <v>417</v>
      </c>
      <c r="AF59" s="52">
        <f t="shared" si="26"/>
        <v>417</v>
      </c>
      <c r="AG59" s="52">
        <f t="shared" si="26"/>
        <v>417</v>
      </c>
      <c r="AH59" s="52">
        <f t="shared" si="26"/>
        <v>417</v>
      </c>
      <c r="AI59" s="52">
        <f t="shared" si="26"/>
        <v>417</v>
      </c>
      <c r="AJ59" s="52">
        <f t="shared" si="33"/>
        <v>413</v>
      </c>
      <c r="AK59" s="52">
        <f t="shared" si="34"/>
        <v>0</v>
      </c>
    </row>
    <row r="60" spans="1:37" x14ac:dyDescent="0.3">
      <c r="A60" s="50"/>
      <c r="B60" s="50"/>
      <c r="C60" s="50"/>
      <c r="D60" s="50"/>
      <c r="E60" s="50"/>
      <c r="F60" s="50" t="s">
        <v>118</v>
      </c>
      <c r="G60" s="50"/>
      <c r="H60" s="51">
        <f t="shared" ref="H60:P60" si="35">ROUND(SUM(H57:H59),5)</f>
        <v>671.11</v>
      </c>
      <c r="I60" s="51">
        <f t="shared" si="35"/>
        <v>1380.39</v>
      </c>
      <c r="J60" s="51">
        <f t="shared" si="35"/>
        <v>1633.32</v>
      </c>
      <c r="K60" s="51">
        <f t="shared" si="35"/>
        <v>1815.96</v>
      </c>
      <c r="L60" s="51">
        <f t="shared" si="35"/>
        <v>1258.07</v>
      </c>
      <c r="M60" s="51">
        <f t="shared" si="35"/>
        <v>1909.09</v>
      </c>
      <c r="N60" s="51">
        <f t="shared" si="35"/>
        <v>2724.6</v>
      </c>
      <c r="O60" s="51">
        <f t="shared" si="35"/>
        <v>1463.82</v>
      </c>
      <c r="P60" s="51">
        <f t="shared" si="35"/>
        <v>1445.56</v>
      </c>
      <c r="Q60" s="51">
        <f>ROUND(SUM(Q57:Q59),5)</f>
        <v>2167.1</v>
      </c>
      <c r="R60" s="51">
        <f>ROUND(SUM(R57:R59),5)</f>
        <v>1471.42</v>
      </c>
      <c r="S60" s="51">
        <f>ROUND(SUM(S57:S59),5)</f>
        <v>2380.89</v>
      </c>
      <c r="T60" s="51"/>
      <c r="U60" s="51">
        <f>ROUND(SUM(H60:T60),5)</f>
        <v>20321.330000000002</v>
      </c>
      <c r="V60" s="51">
        <f>ROUND(SUM(V57:V59),5)</f>
        <v>23161</v>
      </c>
      <c r="W60" s="51">
        <f>ROUND(SUM(W57:W59),5)</f>
        <v>26500</v>
      </c>
      <c r="Y60" s="51"/>
      <c r="Z60" s="51"/>
      <c r="AA60" s="51"/>
      <c r="AB60" s="51"/>
      <c r="AC60" s="51"/>
      <c r="AD60" s="51"/>
      <c r="AE60" s="51"/>
      <c r="AF60" s="51"/>
      <c r="AG60" s="51"/>
      <c r="AH60" s="51"/>
      <c r="AI60" s="51"/>
      <c r="AJ60" s="51"/>
      <c r="AK60" s="51"/>
    </row>
    <row r="61" spans="1:37" x14ac:dyDescent="0.3">
      <c r="A61" s="50"/>
      <c r="B61" s="50"/>
      <c r="C61" s="50"/>
      <c r="D61" s="50"/>
      <c r="E61" s="50"/>
      <c r="F61" s="50" t="s">
        <v>119</v>
      </c>
      <c r="G61" s="50"/>
      <c r="H61" s="51"/>
      <c r="I61" s="51"/>
      <c r="J61" s="51"/>
      <c r="K61" s="51"/>
      <c r="L61" s="51"/>
      <c r="M61" s="51"/>
      <c r="N61" s="51"/>
      <c r="O61" s="51"/>
      <c r="P61" s="51"/>
      <c r="Q61" s="51"/>
      <c r="R61" s="51"/>
      <c r="S61" s="51"/>
      <c r="T61" s="51"/>
      <c r="U61" s="51"/>
      <c r="V61" s="51"/>
      <c r="W61" s="51"/>
      <c r="Y61" s="51"/>
      <c r="Z61" s="51"/>
      <c r="AA61" s="51"/>
      <c r="AB61" s="51"/>
      <c r="AC61" s="51"/>
      <c r="AD61" s="51"/>
      <c r="AE61" s="51"/>
      <c r="AF61" s="51"/>
      <c r="AG61" s="51"/>
      <c r="AH61" s="51"/>
      <c r="AI61" s="51"/>
      <c r="AJ61" s="51"/>
      <c r="AK61" s="51"/>
    </row>
    <row r="62" spans="1:37" x14ac:dyDescent="0.3">
      <c r="A62" s="50"/>
      <c r="B62" s="50"/>
      <c r="C62" s="50"/>
      <c r="D62" s="50"/>
      <c r="E62" s="50"/>
      <c r="F62" s="50"/>
      <c r="G62" s="50" t="s">
        <v>120</v>
      </c>
      <c r="H62" s="51">
        <v>7851.47</v>
      </c>
      <c r="I62" s="51">
        <v>3925.93</v>
      </c>
      <c r="J62" s="51">
        <v>0</v>
      </c>
      <c r="K62" s="51">
        <v>3925.93</v>
      </c>
      <c r="L62" s="51">
        <v>3254.42</v>
      </c>
      <c r="M62" s="51">
        <v>3254.42</v>
      </c>
      <c r="N62" s="51">
        <v>3379.51</v>
      </c>
      <c r="O62" s="51">
        <v>3379.51</v>
      </c>
      <c r="P62" s="51">
        <v>3379.51</v>
      </c>
      <c r="Q62" s="51">
        <v>3379.51</v>
      </c>
      <c r="R62" s="51">
        <v>3379.51</v>
      </c>
      <c r="S62" s="51">
        <v>3379.51</v>
      </c>
      <c r="T62" s="51"/>
      <c r="U62" s="51">
        <f>ROUND(SUM(H62:T62),5)</f>
        <v>42489.23</v>
      </c>
      <c r="V62" s="67">
        <v>60000</v>
      </c>
      <c r="W62" s="67">
        <v>52000</v>
      </c>
      <c r="X62" s="68" t="s">
        <v>310</v>
      </c>
      <c r="Y62" s="67">
        <f t="shared" ref="Y62:AI64" si="36">ROUND($W62/12,0)</f>
        <v>4333</v>
      </c>
      <c r="Z62" s="67">
        <f t="shared" si="36"/>
        <v>4333</v>
      </c>
      <c r="AA62" s="67">
        <f t="shared" si="36"/>
        <v>4333</v>
      </c>
      <c r="AB62" s="67">
        <f t="shared" si="36"/>
        <v>4333</v>
      </c>
      <c r="AC62" s="67">
        <f t="shared" si="36"/>
        <v>4333</v>
      </c>
      <c r="AD62" s="67">
        <f t="shared" si="36"/>
        <v>4333</v>
      </c>
      <c r="AE62" s="67">
        <f t="shared" si="36"/>
        <v>4333</v>
      </c>
      <c r="AF62" s="67">
        <f t="shared" si="36"/>
        <v>4333</v>
      </c>
      <c r="AG62" s="67">
        <f t="shared" si="36"/>
        <v>4333</v>
      </c>
      <c r="AH62" s="67">
        <f t="shared" si="36"/>
        <v>4333</v>
      </c>
      <c r="AI62" s="67">
        <f t="shared" si="36"/>
        <v>4333</v>
      </c>
      <c r="AJ62" s="67">
        <f t="shared" ref="AJ62:AJ64" si="37">W62-Y62-Z62-AA62-AB62-AC62-AD62-AE62-AF62-AG62-AH62-AI62</f>
        <v>4337</v>
      </c>
      <c r="AK62" s="67">
        <f t="shared" ref="AK62:AK64" si="38">SUM(Y62:AJ62)-W62</f>
        <v>0</v>
      </c>
    </row>
    <row r="63" spans="1:37" x14ac:dyDescent="0.3">
      <c r="A63" s="50"/>
      <c r="B63" s="50"/>
      <c r="C63" s="50"/>
      <c r="D63" s="50"/>
      <c r="E63" s="50"/>
      <c r="F63" s="50"/>
      <c r="G63" s="50" t="s">
        <v>121</v>
      </c>
      <c r="H63" s="51">
        <v>147.69</v>
      </c>
      <c r="I63" s="51">
        <v>0</v>
      </c>
      <c r="J63" s="51">
        <v>0</v>
      </c>
      <c r="K63" s="51">
        <v>49.23</v>
      </c>
      <c r="L63" s="51">
        <v>71.760000000000005</v>
      </c>
      <c r="M63" s="51">
        <v>80.66</v>
      </c>
      <c r="N63" s="51">
        <v>40.33</v>
      </c>
      <c r="O63" s="51">
        <v>0</v>
      </c>
      <c r="P63" s="51">
        <v>80.66</v>
      </c>
      <c r="Q63" s="51">
        <v>0</v>
      </c>
      <c r="R63" s="51">
        <v>49.23</v>
      </c>
      <c r="S63" s="51">
        <v>65.28</v>
      </c>
      <c r="T63" s="51"/>
      <c r="U63" s="51">
        <f>ROUND(SUM(H63:T63),5)</f>
        <v>584.84</v>
      </c>
      <c r="V63" s="67">
        <v>1000</v>
      </c>
      <c r="W63" s="67">
        <v>800</v>
      </c>
      <c r="X63" s="68" t="s">
        <v>207</v>
      </c>
      <c r="Y63" s="67">
        <f t="shared" si="36"/>
        <v>67</v>
      </c>
      <c r="Z63" s="67">
        <f t="shared" si="36"/>
        <v>67</v>
      </c>
      <c r="AA63" s="67">
        <f t="shared" si="36"/>
        <v>67</v>
      </c>
      <c r="AB63" s="67">
        <f t="shared" si="36"/>
        <v>67</v>
      </c>
      <c r="AC63" s="67">
        <f t="shared" si="36"/>
        <v>67</v>
      </c>
      <c r="AD63" s="67">
        <f t="shared" si="36"/>
        <v>67</v>
      </c>
      <c r="AE63" s="67">
        <f t="shared" si="36"/>
        <v>67</v>
      </c>
      <c r="AF63" s="67">
        <f t="shared" si="36"/>
        <v>67</v>
      </c>
      <c r="AG63" s="67">
        <f t="shared" si="36"/>
        <v>67</v>
      </c>
      <c r="AH63" s="67">
        <f t="shared" si="36"/>
        <v>67</v>
      </c>
      <c r="AI63" s="67">
        <f t="shared" si="36"/>
        <v>67</v>
      </c>
      <c r="AJ63" s="67">
        <f t="shared" si="37"/>
        <v>63</v>
      </c>
      <c r="AK63" s="67">
        <f t="shared" si="38"/>
        <v>0</v>
      </c>
    </row>
    <row r="64" spans="1:37" ht="15" thickBot="1" x14ac:dyDescent="0.35">
      <c r="A64" s="50"/>
      <c r="B64" s="50"/>
      <c r="C64" s="50"/>
      <c r="D64" s="50"/>
      <c r="E64" s="50"/>
      <c r="F64" s="50"/>
      <c r="G64" s="50" t="s">
        <v>122</v>
      </c>
      <c r="H64" s="52">
        <v>664.72</v>
      </c>
      <c r="I64" s="52">
        <v>332.36</v>
      </c>
      <c r="J64" s="52">
        <v>272.48</v>
      </c>
      <c r="K64" s="52">
        <v>272.48</v>
      </c>
      <c r="L64" s="52">
        <v>272.48</v>
      </c>
      <c r="M64" s="52">
        <v>0</v>
      </c>
      <c r="N64" s="52">
        <v>544.96</v>
      </c>
      <c r="O64" s="52">
        <v>0</v>
      </c>
      <c r="P64" s="52">
        <v>558.6</v>
      </c>
      <c r="Q64" s="52">
        <v>286.12</v>
      </c>
      <c r="R64" s="52">
        <v>286.12</v>
      </c>
      <c r="S64" s="52">
        <v>286.12</v>
      </c>
      <c r="T64" s="52"/>
      <c r="U64" s="52">
        <f>ROUND(SUM(H64:T64),5)</f>
        <v>3776.44</v>
      </c>
      <c r="V64" s="69">
        <v>3800</v>
      </c>
      <c r="W64" s="69">
        <v>3200</v>
      </c>
      <c r="X64" s="68" t="s">
        <v>207</v>
      </c>
      <c r="Y64" s="69">
        <f t="shared" si="36"/>
        <v>267</v>
      </c>
      <c r="Z64" s="69">
        <f t="shared" si="36"/>
        <v>267</v>
      </c>
      <c r="AA64" s="69">
        <f t="shared" si="36"/>
        <v>267</v>
      </c>
      <c r="AB64" s="69">
        <f t="shared" si="36"/>
        <v>267</v>
      </c>
      <c r="AC64" s="69">
        <f t="shared" si="36"/>
        <v>267</v>
      </c>
      <c r="AD64" s="69">
        <f t="shared" si="36"/>
        <v>267</v>
      </c>
      <c r="AE64" s="69">
        <f t="shared" si="36"/>
        <v>267</v>
      </c>
      <c r="AF64" s="69">
        <f t="shared" si="36"/>
        <v>267</v>
      </c>
      <c r="AG64" s="69">
        <f t="shared" si="36"/>
        <v>267</v>
      </c>
      <c r="AH64" s="69">
        <f t="shared" si="36"/>
        <v>267</v>
      </c>
      <c r="AI64" s="69">
        <f t="shared" si="36"/>
        <v>267</v>
      </c>
      <c r="AJ64" s="69">
        <f t="shared" si="37"/>
        <v>263</v>
      </c>
      <c r="AK64" s="69">
        <f t="shared" si="38"/>
        <v>0</v>
      </c>
    </row>
    <row r="65" spans="1:37" x14ac:dyDescent="0.3">
      <c r="A65" s="50"/>
      <c r="B65" s="50"/>
      <c r="C65" s="50"/>
      <c r="D65" s="50"/>
      <c r="E65" s="50"/>
      <c r="F65" s="50" t="s">
        <v>123</v>
      </c>
      <c r="G65" s="50"/>
      <c r="H65" s="51">
        <f t="shared" ref="H65:P65" si="39">ROUND(SUM(H61:H64),5)</f>
        <v>8663.8799999999992</v>
      </c>
      <c r="I65" s="51">
        <f t="shared" si="39"/>
        <v>4258.29</v>
      </c>
      <c r="J65" s="51">
        <f t="shared" si="39"/>
        <v>272.48</v>
      </c>
      <c r="K65" s="51">
        <f t="shared" si="39"/>
        <v>4247.6400000000003</v>
      </c>
      <c r="L65" s="51">
        <f t="shared" si="39"/>
        <v>3598.66</v>
      </c>
      <c r="M65" s="51">
        <f t="shared" si="39"/>
        <v>3335.08</v>
      </c>
      <c r="N65" s="51">
        <f t="shared" si="39"/>
        <v>3964.8</v>
      </c>
      <c r="O65" s="51">
        <f t="shared" si="39"/>
        <v>3379.51</v>
      </c>
      <c r="P65" s="51">
        <f t="shared" si="39"/>
        <v>4018.77</v>
      </c>
      <c r="Q65" s="51">
        <f>ROUND(SUM(Q61:Q64),5)</f>
        <v>3665.63</v>
      </c>
      <c r="R65" s="51">
        <f>ROUND(SUM(R61:R64),5)</f>
        <v>3714.86</v>
      </c>
      <c r="S65" s="51">
        <f>ROUND(SUM(S61:S64),5)</f>
        <v>3730.91</v>
      </c>
      <c r="T65" s="51"/>
      <c r="U65" s="51">
        <f>ROUND(SUM(H65:T65),5)</f>
        <v>46850.51</v>
      </c>
      <c r="V65" s="51">
        <f>ROUND(SUM(V61:V64),5)</f>
        <v>64800</v>
      </c>
      <c r="W65" s="51">
        <f>ROUND(SUM(W61:W64),5)</f>
        <v>56000</v>
      </c>
      <c r="Y65" s="51"/>
      <c r="Z65" s="51"/>
      <c r="AA65" s="51"/>
      <c r="AB65" s="51"/>
      <c r="AC65" s="51"/>
      <c r="AD65" s="51"/>
      <c r="AE65" s="51"/>
      <c r="AF65" s="51"/>
      <c r="AG65" s="51"/>
      <c r="AH65" s="51"/>
      <c r="AI65" s="51"/>
      <c r="AJ65" s="51"/>
      <c r="AK65" s="51"/>
    </row>
    <row r="66" spans="1:37" x14ac:dyDescent="0.3">
      <c r="A66" s="50"/>
      <c r="B66" s="50"/>
      <c r="C66" s="50"/>
      <c r="D66" s="50"/>
      <c r="E66" s="50"/>
      <c r="F66" s="50" t="s">
        <v>124</v>
      </c>
      <c r="G66" s="50"/>
      <c r="H66" s="51"/>
      <c r="I66" s="51"/>
      <c r="J66" s="51"/>
      <c r="K66" s="51"/>
      <c r="L66" s="51"/>
      <c r="M66" s="51"/>
      <c r="N66" s="51"/>
      <c r="O66" s="51"/>
      <c r="P66" s="51"/>
      <c r="Q66" s="51"/>
      <c r="R66" s="51"/>
      <c r="S66" s="51"/>
      <c r="T66" s="51"/>
      <c r="U66" s="51"/>
      <c r="V66" s="51"/>
      <c r="W66" s="51"/>
      <c r="Y66" s="51"/>
      <c r="Z66" s="51"/>
      <c r="AA66" s="51"/>
      <c r="AB66" s="51"/>
      <c r="AC66" s="51"/>
      <c r="AD66" s="51"/>
      <c r="AE66" s="51"/>
      <c r="AF66" s="51"/>
      <c r="AG66" s="51"/>
      <c r="AH66" s="51"/>
      <c r="AI66" s="51"/>
      <c r="AJ66" s="51"/>
      <c r="AK66" s="51"/>
    </row>
    <row r="67" spans="1:37" ht="21.6" x14ac:dyDescent="0.3">
      <c r="A67" s="50"/>
      <c r="B67" s="50"/>
      <c r="C67" s="50"/>
      <c r="D67" s="50"/>
      <c r="E67" s="50"/>
      <c r="F67" s="50"/>
      <c r="G67" s="50" t="s">
        <v>125</v>
      </c>
      <c r="H67" s="51">
        <v>920.16</v>
      </c>
      <c r="I67" s="51">
        <v>2249.3000000000002</v>
      </c>
      <c r="J67" s="51">
        <v>920.16</v>
      </c>
      <c r="K67" s="51">
        <v>920.16</v>
      </c>
      <c r="L67" s="51">
        <v>920.16</v>
      </c>
      <c r="M67" s="51">
        <v>920.16</v>
      </c>
      <c r="N67" s="51">
        <v>920.16</v>
      </c>
      <c r="O67" s="51">
        <v>920.16</v>
      </c>
      <c r="P67" s="51">
        <v>920.16</v>
      </c>
      <c r="Q67" s="51">
        <v>920.16</v>
      </c>
      <c r="R67" s="51">
        <v>920.16</v>
      </c>
      <c r="S67" s="51">
        <v>1042.3499999999999</v>
      </c>
      <c r="T67" s="51"/>
      <c r="U67" s="51">
        <f>ROUND(SUM(H67:T67),5)</f>
        <v>12493.25</v>
      </c>
      <c r="V67" s="67">
        <v>22000</v>
      </c>
      <c r="W67" s="67">
        <v>22000</v>
      </c>
      <c r="X67" s="68" t="s">
        <v>256</v>
      </c>
      <c r="Y67" s="67">
        <f t="shared" ref="Y67:AI69" si="40">ROUND($W67/12,0)</f>
        <v>1833</v>
      </c>
      <c r="Z67" s="67">
        <f t="shared" si="40"/>
        <v>1833</v>
      </c>
      <c r="AA67" s="67">
        <f t="shared" si="40"/>
        <v>1833</v>
      </c>
      <c r="AB67" s="67">
        <f t="shared" si="40"/>
        <v>1833</v>
      </c>
      <c r="AC67" s="67">
        <f t="shared" si="40"/>
        <v>1833</v>
      </c>
      <c r="AD67" s="67">
        <f t="shared" si="40"/>
        <v>1833</v>
      </c>
      <c r="AE67" s="67">
        <f t="shared" si="40"/>
        <v>1833</v>
      </c>
      <c r="AF67" s="67">
        <f t="shared" si="40"/>
        <v>1833</v>
      </c>
      <c r="AG67" s="67">
        <f t="shared" si="40"/>
        <v>1833</v>
      </c>
      <c r="AH67" s="67">
        <f t="shared" si="40"/>
        <v>1833</v>
      </c>
      <c r="AI67" s="67">
        <f t="shared" si="40"/>
        <v>1833</v>
      </c>
      <c r="AJ67" s="67">
        <f t="shared" ref="AJ67:AJ69" si="41">W67-Y67-Z67-AA67-AB67-AC67-AD67-AE67-AF67-AG67-AH67-AI67</f>
        <v>1837</v>
      </c>
      <c r="AK67" s="67">
        <f t="shared" ref="AK67:AK69" si="42">SUM(Y67:AJ67)-W67</f>
        <v>0</v>
      </c>
    </row>
    <row r="68" spans="1:37" x14ac:dyDescent="0.3">
      <c r="A68" s="50"/>
      <c r="B68" s="50"/>
      <c r="C68" s="50"/>
      <c r="D68" s="50"/>
      <c r="E68" s="50"/>
      <c r="F68" s="50"/>
      <c r="G68" s="50" t="s">
        <v>199</v>
      </c>
      <c r="H68" s="51">
        <v>0</v>
      </c>
      <c r="I68" s="51">
        <v>0</v>
      </c>
      <c r="J68" s="51">
        <v>0</v>
      </c>
      <c r="K68" s="51">
        <v>0</v>
      </c>
      <c r="L68" s="51">
        <v>0</v>
      </c>
      <c r="M68" s="51">
        <v>0</v>
      </c>
      <c r="N68" s="51">
        <v>0</v>
      </c>
      <c r="O68" s="51">
        <v>0</v>
      </c>
      <c r="P68" s="51">
        <v>0</v>
      </c>
      <c r="Q68" s="51">
        <v>0</v>
      </c>
      <c r="R68" s="51">
        <v>0</v>
      </c>
      <c r="S68" s="51">
        <v>0</v>
      </c>
      <c r="T68" s="51">
        <v>0</v>
      </c>
      <c r="U68" s="51">
        <v>0</v>
      </c>
      <c r="V68" s="67">
        <v>1600</v>
      </c>
      <c r="W68" s="67">
        <v>1500</v>
      </c>
      <c r="Y68" s="67">
        <f t="shared" si="40"/>
        <v>125</v>
      </c>
      <c r="Z68" s="67">
        <f t="shared" si="40"/>
        <v>125</v>
      </c>
      <c r="AA68" s="67">
        <f t="shared" si="40"/>
        <v>125</v>
      </c>
      <c r="AB68" s="67">
        <f t="shared" si="40"/>
        <v>125</v>
      </c>
      <c r="AC68" s="67">
        <f t="shared" si="40"/>
        <v>125</v>
      </c>
      <c r="AD68" s="67">
        <f t="shared" si="40"/>
        <v>125</v>
      </c>
      <c r="AE68" s="67">
        <f t="shared" si="40"/>
        <v>125</v>
      </c>
      <c r="AF68" s="67">
        <f t="shared" si="40"/>
        <v>125</v>
      </c>
      <c r="AG68" s="67">
        <f t="shared" si="40"/>
        <v>125</v>
      </c>
      <c r="AH68" s="67">
        <f t="shared" si="40"/>
        <v>125</v>
      </c>
      <c r="AI68" s="67">
        <f t="shared" si="40"/>
        <v>125</v>
      </c>
      <c r="AJ68" s="67">
        <f t="shared" si="41"/>
        <v>125</v>
      </c>
      <c r="AK68" s="67">
        <f t="shared" si="42"/>
        <v>0</v>
      </c>
    </row>
    <row r="69" spans="1:37" ht="15" thickBot="1" x14ac:dyDescent="0.35">
      <c r="A69" s="50"/>
      <c r="B69" s="50"/>
      <c r="C69" s="50"/>
      <c r="D69" s="50"/>
      <c r="E69" s="50"/>
      <c r="F69" s="50"/>
      <c r="G69" s="50" t="s">
        <v>126</v>
      </c>
      <c r="H69" s="51">
        <v>0.75</v>
      </c>
      <c r="I69" s="51">
        <v>22.5</v>
      </c>
      <c r="J69" s="51">
        <v>22.5</v>
      </c>
      <c r="K69" s="51">
        <v>22.5</v>
      </c>
      <c r="L69" s="51">
        <v>25.85</v>
      </c>
      <c r="M69" s="51">
        <v>94.84</v>
      </c>
      <c r="N69" s="51">
        <v>477</v>
      </c>
      <c r="O69" s="51">
        <v>266.7</v>
      </c>
      <c r="P69" s="51">
        <v>140.5</v>
      </c>
      <c r="Q69" s="51">
        <v>23.32</v>
      </c>
      <c r="R69" s="51">
        <v>22.5</v>
      </c>
      <c r="S69" s="51">
        <v>44.25</v>
      </c>
      <c r="T69" s="51"/>
      <c r="U69" s="51">
        <f>ROUND(SUM(H69:T69),5)</f>
        <v>1163.21</v>
      </c>
      <c r="V69" s="67">
        <v>2000</v>
      </c>
      <c r="W69" s="67">
        <v>2000</v>
      </c>
      <c r="Y69" s="67">
        <f t="shared" si="40"/>
        <v>167</v>
      </c>
      <c r="Z69" s="67">
        <f t="shared" si="40"/>
        <v>167</v>
      </c>
      <c r="AA69" s="67">
        <f t="shared" si="40"/>
        <v>167</v>
      </c>
      <c r="AB69" s="67">
        <f t="shared" si="40"/>
        <v>167</v>
      </c>
      <c r="AC69" s="67">
        <f t="shared" si="40"/>
        <v>167</v>
      </c>
      <c r="AD69" s="67">
        <f t="shared" si="40"/>
        <v>167</v>
      </c>
      <c r="AE69" s="67">
        <f t="shared" si="40"/>
        <v>167</v>
      </c>
      <c r="AF69" s="67">
        <f t="shared" si="40"/>
        <v>167</v>
      </c>
      <c r="AG69" s="67">
        <f t="shared" si="40"/>
        <v>167</v>
      </c>
      <c r="AH69" s="67">
        <f t="shared" si="40"/>
        <v>167</v>
      </c>
      <c r="AI69" s="67">
        <f t="shared" si="40"/>
        <v>167</v>
      </c>
      <c r="AJ69" s="67">
        <f t="shared" si="41"/>
        <v>163</v>
      </c>
      <c r="AK69" s="67">
        <f t="shared" si="42"/>
        <v>0</v>
      </c>
    </row>
    <row r="70" spans="1:37" ht="15" thickBot="1" x14ac:dyDescent="0.35">
      <c r="A70" s="50"/>
      <c r="B70" s="50"/>
      <c r="C70" s="50"/>
      <c r="D70" s="50"/>
      <c r="E70" s="50"/>
      <c r="F70" s="50" t="s">
        <v>127</v>
      </c>
      <c r="G70" s="50"/>
      <c r="H70" s="53">
        <f t="shared" ref="H70:S70" si="43">ROUND(SUM(H66:H69),5)</f>
        <v>920.91</v>
      </c>
      <c r="I70" s="53">
        <f t="shared" si="43"/>
        <v>2271.8000000000002</v>
      </c>
      <c r="J70" s="53">
        <f t="shared" si="43"/>
        <v>942.66</v>
      </c>
      <c r="K70" s="53">
        <f t="shared" si="43"/>
        <v>942.66</v>
      </c>
      <c r="L70" s="53">
        <f t="shared" si="43"/>
        <v>946.01</v>
      </c>
      <c r="M70" s="53">
        <f t="shared" si="43"/>
        <v>1015</v>
      </c>
      <c r="N70" s="53">
        <f t="shared" si="43"/>
        <v>1397.16</v>
      </c>
      <c r="O70" s="53">
        <f t="shared" si="43"/>
        <v>1186.8599999999999</v>
      </c>
      <c r="P70" s="53">
        <f t="shared" si="43"/>
        <v>1060.6600000000001</v>
      </c>
      <c r="Q70" s="53">
        <f t="shared" si="43"/>
        <v>943.48</v>
      </c>
      <c r="R70" s="53">
        <f t="shared" si="43"/>
        <v>942.66</v>
      </c>
      <c r="S70" s="53">
        <f t="shared" si="43"/>
        <v>1086.5999999999999</v>
      </c>
      <c r="T70" s="53"/>
      <c r="U70" s="53">
        <f>ROUND(SUM(H70:T70),5)</f>
        <v>13656.46</v>
      </c>
      <c r="V70" s="53">
        <f>ROUND(SUM(V66:V69),5)</f>
        <v>25600</v>
      </c>
      <c r="W70" s="53">
        <f>ROUND(SUM(W66:W69),5)</f>
        <v>25500</v>
      </c>
      <c r="Y70" s="53"/>
      <c r="Z70" s="53"/>
      <c r="AA70" s="53"/>
      <c r="AB70" s="53"/>
      <c r="AC70" s="53"/>
      <c r="AD70" s="53"/>
      <c r="AE70" s="53"/>
      <c r="AF70" s="53"/>
      <c r="AG70" s="53"/>
      <c r="AH70" s="53"/>
      <c r="AI70" s="53"/>
      <c r="AJ70" s="53"/>
      <c r="AK70" s="53"/>
    </row>
    <row r="71" spans="1:37" x14ac:dyDescent="0.3">
      <c r="A71" s="50"/>
      <c r="B71" s="50"/>
      <c r="C71" s="50"/>
      <c r="D71" s="50"/>
      <c r="E71" s="50" t="s">
        <v>128</v>
      </c>
      <c r="F71" s="50"/>
      <c r="G71" s="50"/>
      <c r="H71" s="51">
        <f t="shared" ref="H71:S71" si="44">ROUND(H41+H47+H52+H56+H60+H65+H70,5)</f>
        <v>20427.5</v>
      </c>
      <c r="I71" s="51">
        <f t="shared" si="44"/>
        <v>27733.33</v>
      </c>
      <c r="J71" s="51">
        <f t="shared" si="44"/>
        <v>23514.880000000001</v>
      </c>
      <c r="K71" s="51">
        <f t="shared" si="44"/>
        <v>33234.839999999997</v>
      </c>
      <c r="L71" s="51">
        <f t="shared" si="44"/>
        <v>23848.2</v>
      </c>
      <c r="M71" s="51">
        <f t="shared" si="44"/>
        <v>31970.85</v>
      </c>
      <c r="N71" s="51">
        <f t="shared" si="44"/>
        <v>45059.15</v>
      </c>
      <c r="O71" s="51">
        <f t="shared" si="44"/>
        <v>25780.14</v>
      </c>
      <c r="P71" s="51">
        <f t="shared" si="44"/>
        <v>26176.5</v>
      </c>
      <c r="Q71" s="51">
        <f t="shared" si="44"/>
        <v>36375.4</v>
      </c>
      <c r="R71" s="51">
        <f t="shared" si="44"/>
        <v>25977.439999999999</v>
      </c>
      <c r="S71" s="51">
        <f t="shared" si="44"/>
        <v>30418.91</v>
      </c>
      <c r="T71" s="51"/>
      <c r="U71" s="51">
        <f>ROUND(SUM(H71:T71),5)</f>
        <v>350517.14</v>
      </c>
      <c r="V71" s="51">
        <f>ROUND(V41+V47+V52+V56+V60+V65+V70,5)</f>
        <v>470191</v>
      </c>
      <c r="W71" s="51">
        <f>ROUND(W41+W47+W52+W56+W60+W65+W70,5)</f>
        <v>457450</v>
      </c>
      <c r="Y71" s="51"/>
      <c r="Z71" s="51"/>
      <c r="AA71" s="51"/>
      <c r="AB71" s="51"/>
      <c r="AC71" s="51"/>
      <c r="AD71" s="51"/>
      <c r="AE71" s="51"/>
      <c r="AF71" s="51"/>
      <c r="AG71" s="51"/>
      <c r="AH71" s="51"/>
      <c r="AI71" s="51"/>
      <c r="AJ71" s="51"/>
      <c r="AK71" s="51"/>
    </row>
    <row r="72" spans="1:37" x14ac:dyDescent="0.3">
      <c r="A72" s="50"/>
      <c r="B72" s="50"/>
      <c r="C72" s="50"/>
      <c r="D72" s="50"/>
      <c r="E72" s="50" t="s">
        <v>129</v>
      </c>
      <c r="F72" s="50"/>
      <c r="G72" s="50"/>
      <c r="H72" s="51"/>
      <c r="I72" s="51"/>
      <c r="J72" s="51"/>
      <c r="K72" s="51"/>
      <c r="L72" s="51"/>
      <c r="M72" s="51"/>
      <c r="N72" s="51"/>
      <c r="O72" s="51"/>
      <c r="P72" s="51"/>
      <c r="Q72" s="51"/>
      <c r="R72" s="51"/>
      <c r="S72" s="51"/>
      <c r="T72" s="51"/>
      <c r="U72" s="51"/>
      <c r="V72" s="51"/>
      <c r="W72" s="51"/>
      <c r="Y72" s="51"/>
      <c r="Z72" s="51"/>
      <c r="AA72" s="51"/>
      <c r="AB72" s="51"/>
      <c r="AC72" s="51"/>
      <c r="AD72" s="51"/>
      <c r="AE72" s="51"/>
      <c r="AF72" s="51"/>
      <c r="AG72" s="51"/>
      <c r="AH72" s="51"/>
      <c r="AI72" s="51"/>
      <c r="AJ72" s="51"/>
      <c r="AK72" s="51"/>
    </row>
    <row r="73" spans="1:37" x14ac:dyDescent="0.3">
      <c r="A73" s="50"/>
      <c r="B73" s="50"/>
      <c r="C73" s="50"/>
      <c r="D73" s="50"/>
      <c r="E73" s="50"/>
      <c r="F73" s="50" t="s">
        <v>130</v>
      </c>
      <c r="G73" s="50"/>
      <c r="H73" s="51"/>
      <c r="I73" s="51"/>
      <c r="J73" s="51"/>
      <c r="K73" s="51"/>
      <c r="L73" s="51"/>
      <c r="M73" s="51"/>
      <c r="N73" s="51"/>
      <c r="O73" s="51"/>
      <c r="P73" s="51"/>
      <c r="Q73" s="51"/>
      <c r="R73" s="51"/>
      <c r="S73" s="51"/>
      <c r="T73" s="51"/>
      <c r="U73" s="51"/>
      <c r="V73" s="51"/>
      <c r="W73" s="51"/>
      <c r="Y73" s="51"/>
      <c r="Z73" s="51"/>
      <c r="AA73" s="51"/>
      <c r="AB73" s="51"/>
      <c r="AC73" s="51"/>
      <c r="AD73" s="51"/>
      <c r="AE73" s="51"/>
      <c r="AF73" s="51"/>
      <c r="AG73" s="51"/>
      <c r="AH73" s="51"/>
      <c r="AI73" s="51"/>
      <c r="AJ73" s="51"/>
      <c r="AK73" s="51"/>
    </row>
    <row r="74" spans="1:37" x14ac:dyDescent="0.3">
      <c r="A74" s="50"/>
      <c r="B74" s="50"/>
      <c r="C74" s="50"/>
      <c r="D74" s="50"/>
      <c r="E74" s="50"/>
      <c r="F74" s="50"/>
      <c r="G74" s="50" t="s">
        <v>131</v>
      </c>
      <c r="H74" s="51">
        <v>336.79</v>
      </c>
      <c r="I74" s="51">
        <v>343.57</v>
      </c>
      <c r="J74" s="51">
        <v>340.18</v>
      </c>
      <c r="K74" s="51">
        <v>340.18</v>
      </c>
      <c r="L74" s="51">
        <v>471.16</v>
      </c>
      <c r="M74" s="51">
        <v>340.18</v>
      </c>
      <c r="N74" s="51">
        <v>340.18</v>
      </c>
      <c r="O74" s="51">
        <v>340.18</v>
      </c>
      <c r="P74" s="51">
        <v>340.18</v>
      </c>
      <c r="Q74" s="51">
        <v>340.18</v>
      </c>
      <c r="R74" s="51">
        <v>340.18</v>
      </c>
      <c r="S74" s="51">
        <v>336.79</v>
      </c>
      <c r="T74" s="51"/>
      <c r="U74" s="51">
        <f>ROUND(SUM(H74:T74),5)</f>
        <v>4209.75</v>
      </c>
      <c r="V74" s="67">
        <v>4100</v>
      </c>
      <c r="W74" s="67">
        <v>4400</v>
      </c>
      <c r="Y74" s="67">
        <f t="shared" ref="Y74:AI75" si="45">ROUND($W74/12,0)</f>
        <v>367</v>
      </c>
      <c r="Z74" s="67">
        <f t="shared" si="45"/>
        <v>367</v>
      </c>
      <c r="AA74" s="67">
        <f t="shared" si="45"/>
        <v>367</v>
      </c>
      <c r="AB74" s="67">
        <f t="shared" si="45"/>
        <v>367</v>
      </c>
      <c r="AC74" s="67">
        <f t="shared" si="45"/>
        <v>367</v>
      </c>
      <c r="AD74" s="67">
        <f t="shared" si="45"/>
        <v>367</v>
      </c>
      <c r="AE74" s="67">
        <f t="shared" si="45"/>
        <v>367</v>
      </c>
      <c r="AF74" s="67">
        <f t="shared" si="45"/>
        <v>367</v>
      </c>
      <c r="AG74" s="67">
        <f t="shared" si="45"/>
        <v>367</v>
      </c>
      <c r="AH74" s="67">
        <f t="shared" si="45"/>
        <v>367</v>
      </c>
      <c r="AI74" s="67">
        <f t="shared" si="45"/>
        <v>367</v>
      </c>
      <c r="AJ74" s="67">
        <f t="shared" ref="AJ74:AJ75" si="46">W74-Y74-Z74-AA74-AB74-AC74-AD74-AE74-AF74-AG74-AH74-AI74</f>
        <v>363</v>
      </c>
      <c r="AK74" s="67">
        <f t="shared" ref="AK74:AK75" si="47">SUM(Y74:AJ74)-W74</f>
        <v>0</v>
      </c>
    </row>
    <row r="75" spans="1:37" ht="15" thickBot="1" x14ac:dyDescent="0.35">
      <c r="A75" s="50"/>
      <c r="B75" s="50"/>
      <c r="C75" s="50"/>
      <c r="D75" s="50"/>
      <c r="E75" s="50"/>
      <c r="F75" s="50"/>
      <c r="G75" s="50" t="s">
        <v>132</v>
      </c>
      <c r="H75" s="52">
        <v>0</v>
      </c>
      <c r="I75" s="52">
        <v>613.13</v>
      </c>
      <c r="J75" s="52">
        <v>621.05999999999995</v>
      </c>
      <c r="K75" s="52">
        <v>649.05999999999995</v>
      </c>
      <c r="L75" s="52">
        <v>447.52</v>
      </c>
      <c r="M75" s="52">
        <v>449.1</v>
      </c>
      <c r="N75" s="52">
        <v>352.72</v>
      </c>
      <c r="O75" s="52">
        <v>368.99</v>
      </c>
      <c r="P75" s="52">
        <v>439.86</v>
      </c>
      <c r="Q75" s="52">
        <v>437.05</v>
      </c>
      <c r="R75" s="52">
        <v>528.09</v>
      </c>
      <c r="S75" s="52">
        <v>1125.5899999999999</v>
      </c>
      <c r="T75" s="52"/>
      <c r="U75" s="52">
        <f>ROUND(SUM(H75:T75),5)</f>
        <v>6032.17</v>
      </c>
      <c r="V75" s="69">
        <v>5500</v>
      </c>
      <c r="W75" s="69">
        <v>6000</v>
      </c>
      <c r="Y75" s="69">
        <f t="shared" si="45"/>
        <v>500</v>
      </c>
      <c r="Z75" s="69">
        <f t="shared" si="45"/>
        <v>500</v>
      </c>
      <c r="AA75" s="69">
        <f t="shared" si="45"/>
        <v>500</v>
      </c>
      <c r="AB75" s="69">
        <f t="shared" si="45"/>
        <v>500</v>
      </c>
      <c r="AC75" s="69">
        <f t="shared" si="45"/>
        <v>500</v>
      </c>
      <c r="AD75" s="69">
        <f t="shared" si="45"/>
        <v>500</v>
      </c>
      <c r="AE75" s="69">
        <f t="shared" si="45"/>
        <v>500</v>
      </c>
      <c r="AF75" s="69">
        <f t="shared" si="45"/>
        <v>500</v>
      </c>
      <c r="AG75" s="69">
        <f t="shared" si="45"/>
        <v>500</v>
      </c>
      <c r="AH75" s="69">
        <f t="shared" si="45"/>
        <v>500</v>
      </c>
      <c r="AI75" s="69">
        <f t="shared" si="45"/>
        <v>500</v>
      </c>
      <c r="AJ75" s="69">
        <f t="shared" si="46"/>
        <v>500</v>
      </c>
      <c r="AK75" s="69">
        <f t="shared" si="47"/>
        <v>0</v>
      </c>
    </row>
    <row r="76" spans="1:37" x14ac:dyDescent="0.3">
      <c r="A76" s="50"/>
      <c r="B76" s="50"/>
      <c r="C76" s="50"/>
      <c r="D76" s="50"/>
      <c r="E76" s="50"/>
      <c r="F76" s="50" t="s">
        <v>133</v>
      </c>
      <c r="G76" s="50"/>
      <c r="H76" s="51">
        <f t="shared" ref="H76:P76" si="48">ROUND(SUM(H73:H75),5)</f>
        <v>336.79</v>
      </c>
      <c r="I76" s="51">
        <f t="shared" si="48"/>
        <v>956.7</v>
      </c>
      <c r="J76" s="51">
        <f t="shared" si="48"/>
        <v>961.24</v>
      </c>
      <c r="K76" s="51">
        <f t="shared" si="48"/>
        <v>989.24</v>
      </c>
      <c r="L76" s="51">
        <f t="shared" si="48"/>
        <v>918.68</v>
      </c>
      <c r="M76" s="51">
        <f t="shared" si="48"/>
        <v>789.28</v>
      </c>
      <c r="N76" s="51">
        <f t="shared" si="48"/>
        <v>692.9</v>
      </c>
      <c r="O76" s="51">
        <f t="shared" si="48"/>
        <v>709.17</v>
      </c>
      <c r="P76" s="51">
        <f t="shared" si="48"/>
        <v>780.04</v>
      </c>
      <c r="Q76" s="51">
        <f>ROUND(SUM(Q73:Q75),5)</f>
        <v>777.23</v>
      </c>
      <c r="R76" s="51">
        <f>ROUND(SUM(R73:R75),5)</f>
        <v>868.27</v>
      </c>
      <c r="S76" s="51">
        <f>ROUND(SUM(S73:S75),5)</f>
        <v>1462.38</v>
      </c>
      <c r="T76" s="51"/>
      <c r="U76" s="51">
        <f>ROUND(SUM(H76:T76),5)</f>
        <v>10241.92</v>
      </c>
      <c r="V76" s="51">
        <f>ROUND(SUM(V73:V75),5)</f>
        <v>9600</v>
      </c>
      <c r="W76" s="51">
        <f>ROUND(SUM(W73:W75),5)</f>
        <v>10400</v>
      </c>
      <c r="Y76" s="51"/>
      <c r="Z76" s="51"/>
      <c r="AA76" s="51"/>
      <c r="AB76" s="51"/>
      <c r="AC76" s="51"/>
      <c r="AD76" s="51"/>
      <c r="AE76" s="51"/>
      <c r="AF76" s="51"/>
      <c r="AG76" s="51"/>
      <c r="AH76" s="51"/>
      <c r="AI76" s="51"/>
      <c r="AJ76" s="51"/>
      <c r="AK76" s="51"/>
    </row>
    <row r="77" spans="1:37" x14ac:dyDescent="0.3">
      <c r="A77" s="50"/>
      <c r="B77" s="50"/>
      <c r="C77" s="50"/>
      <c r="D77" s="50"/>
      <c r="E77" s="50"/>
      <c r="F77" s="50"/>
      <c r="G77" s="50"/>
      <c r="H77" s="51"/>
      <c r="I77" s="51"/>
      <c r="J77" s="51"/>
      <c r="K77" s="51"/>
      <c r="L77" s="51"/>
      <c r="M77" s="51"/>
      <c r="N77" s="51"/>
      <c r="O77" s="51"/>
      <c r="P77" s="51"/>
      <c r="Q77" s="51"/>
      <c r="R77" s="51"/>
      <c r="S77" s="51"/>
      <c r="T77" s="51"/>
      <c r="U77" s="51"/>
      <c r="V77" s="51"/>
      <c r="W77" s="51"/>
      <c r="Y77" s="51"/>
      <c r="Z77" s="51"/>
      <c r="AA77" s="51"/>
      <c r="AB77" s="51"/>
      <c r="AC77" s="51"/>
      <c r="AD77" s="51"/>
      <c r="AE77" s="51"/>
      <c r="AF77" s="51"/>
      <c r="AG77" s="51"/>
      <c r="AH77" s="51"/>
      <c r="AI77" s="51"/>
      <c r="AJ77" s="51"/>
      <c r="AK77" s="51"/>
    </row>
    <row r="78" spans="1:37" x14ac:dyDescent="0.3">
      <c r="A78" s="50"/>
      <c r="B78" s="50"/>
      <c r="C78" s="50"/>
      <c r="D78" s="50"/>
      <c r="E78" s="50"/>
      <c r="F78" s="50"/>
      <c r="G78" s="50"/>
      <c r="H78" s="51"/>
      <c r="I78" s="51"/>
      <c r="J78" s="51"/>
      <c r="K78" s="51"/>
      <c r="L78" s="51"/>
      <c r="M78" s="51"/>
      <c r="N78" s="51"/>
      <c r="O78" s="51"/>
      <c r="P78" s="51"/>
      <c r="Q78" s="51"/>
      <c r="R78" s="51"/>
      <c r="S78" s="51"/>
      <c r="T78" s="51"/>
      <c r="U78" s="51"/>
      <c r="V78" s="51"/>
      <c r="W78" s="51"/>
      <c r="Y78" s="51"/>
      <c r="Z78" s="51"/>
      <c r="AA78" s="51"/>
      <c r="AB78" s="51"/>
      <c r="AC78" s="51"/>
      <c r="AD78" s="51"/>
      <c r="AE78" s="51"/>
      <c r="AF78" s="51"/>
      <c r="AG78" s="51"/>
      <c r="AH78" s="51"/>
      <c r="AI78" s="51"/>
      <c r="AJ78" s="51"/>
      <c r="AK78" s="51"/>
    </row>
    <row r="79" spans="1:37" x14ac:dyDescent="0.3">
      <c r="A79" s="50"/>
      <c r="B79" s="50"/>
      <c r="C79" s="50"/>
      <c r="D79" s="50"/>
      <c r="E79" s="50"/>
      <c r="F79" s="50"/>
      <c r="G79" s="50"/>
      <c r="H79" s="51"/>
      <c r="I79" s="51"/>
      <c r="J79" s="51"/>
      <c r="K79" s="51"/>
      <c r="L79" s="51"/>
      <c r="M79" s="51"/>
      <c r="N79" s="51"/>
      <c r="O79" s="51"/>
      <c r="P79" s="51"/>
      <c r="Q79" s="51"/>
      <c r="R79" s="51"/>
      <c r="S79" s="51"/>
      <c r="T79" s="51"/>
      <c r="U79" s="51"/>
      <c r="V79" s="51"/>
      <c r="W79" s="51"/>
      <c r="Y79" s="51"/>
      <c r="Z79" s="51"/>
      <c r="AA79" s="51"/>
      <c r="AB79" s="51"/>
      <c r="AC79" s="51"/>
      <c r="AD79" s="51"/>
      <c r="AE79" s="51"/>
      <c r="AF79" s="51"/>
      <c r="AG79" s="51"/>
      <c r="AH79" s="51"/>
      <c r="AI79" s="51"/>
      <c r="AJ79" s="51"/>
      <c r="AK79" s="51"/>
    </row>
    <row r="80" spans="1:37" x14ac:dyDescent="0.3">
      <c r="A80" s="50"/>
      <c r="B80" s="50"/>
      <c r="C80" s="50"/>
      <c r="D80" s="50"/>
      <c r="E80" s="50"/>
      <c r="F80" s="50"/>
      <c r="G80" s="50"/>
      <c r="H80" s="51"/>
      <c r="I80" s="51"/>
      <c r="J80" s="51"/>
      <c r="K80" s="51"/>
      <c r="L80" s="51"/>
      <c r="M80" s="51"/>
      <c r="N80" s="51"/>
      <c r="O80" s="51"/>
      <c r="P80" s="51"/>
      <c r="Q80" s="51"/>
      <c r="R80" s="51"/>
      <c r="S80" s="51"/>
      <c r="T80" s="51"/>
      <c r="U80" s="51"/>
      <c r="V80" s="51"/>
      <c r="W80" s="51"/>
      <c r="Y80" s="51"/>
      <c r="Z80" s="51"/>
      <c r="AA80" s="51"/>
      <c r="AB80" s="51"/>
      <c r="AC80" s="51"/>
      <c r="AD80" s="51"/>
      <c r="AE80" s="51"/>
      <c r="AF80" s="51"/>
      <c r="AG80" s="51"/>
      <c r="AH80" s="51"/>
      <c r="AI80" s="51"/>
      <c r="AJ80" s="51"/>
      <c r="AK80" s="51"/>
    </row>
    <row r="81" spans="1:37" x14ac:dyDescent="0.3">
      <c r="A81" s="50"/>
      <c r="B81" s="50"/>
      <c r="C81" s="50"/>
      <c r="D81" s="50"/>
      <c r="E81" s="50"/>
      <c r="F81" s="50"/>
      <c r="G81" s="50"/>
      <c r="H81" s="51"/>
      <c r="I81" s="51"/>
      <c r="J81" s="51"/>
      <c r="K81" s="51"/>
      <c r="L81" s="51"/>
      <c r="M81" s="51"/>
      <c r="N81" s="51"/>
      <c r="O81" s="51"/>
      <c r="P81" s="51"/>
      <c r="Q81" s="51"/>
      <c r="R81" s="51"/>
      <c r="S81" s="51"/>
      <c r="T81" s="51"/>
      <c r="U81" s="51"/>
      <c r="V81" s="51"/>
      <c r="W81" s="51"/>
      <c r="Y81" s="51"/>
      <c r="Z81" s="51"/>
      <c r="AA81" s="51"/>
      <c r="AB81" s="51"/>
      <c r="AC81" s="51"/>
      <c r="AD81" s="51"/>
      <c r="AE81" s="51"/>
      <c r="AF81" s="51"/>
      <c r="AG81" s="51"/>
      <c r="AH81" s="51"/>
      <c r="AI81" s="51"/>
      <c r="AJ81" s="51"/>
      <c r="AK81" s="51"/>
    </row>
    <row r="82" spans="1:37" x14ac:dyDescent="0.3">
      <c r="A82" s="50"/>
      <c r="B82" s="50"/>
      <c r="C82" s="50"/>
      <c r="D82" s="50"/>
      <c r="E82" s="50"/>
      <c r="F82" s="50"/>
      <c r="G82" s="50"/>
      <c r="H82" s="51"/>
      <c r="I82" s="51"/>
      <c r="J82" s="51"/>
      <c r="K82" s="51"/>
      <c r="L82" s="51"/>
      <c r="M82" s="51"/>
      <c r="N82" s="51"/>
      <c r="O82" s="51"/>
      <c r="P82" s="51"/>
      <c r="Q82" s="51"/>
      <c r="R82" s="51"/>
      <c r="S82" s="51"/>
      <c r="T82" s="51"/>
      <c r="U82" s="51"/>
      <c r="V82" s="51"/>
      <c r="W82" s="51"/>
      <c r="Y82" s="51"/>
      <c r="Z82" s="51"/>
      <c r="AA82" s="51"/>
      <c r="AB82" s="51"/>
      <c r="AC82" s="51"/>
      <c r="AD82" s="51"/>
      <c r="AE82" s="51"/>
      <c r="AF82" s="51"/>
      <c r="AG82" s="51"/>
      <c r="AH82" s="51"/>
      <c r="AI82" s="51"/>
      <c r="AJ82" s="51"/>
      <c r="AK82" s="51"/>
    </row>
    <row r="83" spans="1:37" x14ac:dyDescent="0.3">
      <c r="A83" s="50"/>
      <c r="B83" s="50"/>
      <c r="C83" s="50"/>
      <c r="D83" s="50"/>
      <c r="E83" s="50"/>
      <c r="F83" s="50"/>
      <c r="G83" s="50"/>
      <c r="H83" s="51"/>
      <c r="I83" s="51"/>
      <c r="J83" s="51"/>
      <c r="K83" s="51"/>
      <c r="L83" s="51"/>
      <c r="M83" s="51"/>
      <c r="N83" s="51"/>
      <c r="O83" s="51"/>
      <c r="P83" s="51"/>
      <c r="Q83" s="51"/>
      <c r="R83" s="51"/>
      <c r="S83" s="51"/>
      <c r="T83" s="51"/>
      <c r="U83" s="51"/>
      <c r="V83" s="51"/>
      <c r="W83" s="51"/>
      <c r="Y83" s="51"/>
      <c r="Z83" s="51"/>
      <c r="AA83" s="51"/>
      <c r="AB83" s="51"/>
      <c r="AC83" s="51"/>
      <c r="AD83" s="51"/>
      <c r="AE83" s="51"/>
      <c r="AF83" s="51"/>
      <c r="AG83" s="51"/>
      <c r="AH83" s="51"/>
      <c r="AI83" s="51"/>
      <c r="AJ83" s="51"/>
      <c r="AK83" s="51"/>
    </row>
    <row r="84" spans="1:37" x14ac:dyDescent="0.3">
      <c r="A84" s="50"/>
      <c r="B84" s="50"/>
      <c r="C84" s="50"/>
      <c r="D84" s="50"/>
      <c r="E84" s="50"/>
      <c r="F84" s="50"/>
      <c r="G84" s="50"/>
      <c r="H84" s="51"/>
      <c r="I84" s="51"/>
      <c r="J84" s="51"/>
      <c r="K84" s="51"/>
      <c r="L84" s="51"/>
      <c r="M84" s="51"/>
      <c r="N84" s="51"/>
      <c r="O84" s="51"/>
      <c r="P84" s="51"/>
      <c r="Q84" s="51"/>
      <c r="R84" s="51"/>
      <c r="S84" s="51"/>
      <c r="T84" s="51"/>
      <c r="U84" s="51"/>
      <c r="V84" s="51"/>
      <c r="W84" s="51"/>
      <c r="Y84" s="51"/>
      <c r="Z84" s="51"/>
      <c r="AA84" s="51"/>
      <c r="AB84" s="51"/>
      <c r="AC84" s="51"/>
      <c r="AD84" s="51"/>
      <c r="AE84" s="51"/>
      <c r="AF84" s="51"/>
      <c r="AG84" s="51"/>
      <c r="AH84" s="51"/>
      <c r="AI84" s="51"/>
      <c r="AJ84" s="51"/>
      <c r="AK84" s="51"/>
    </row>
    <row r="85" spans="1:37" x14ac:dyDescent="0.3">
      <c r="A85" s="50"/>
      <c r="B85" s="50"/>
      <c r="C85" s="50"/>
      <c r="D85" s="50"/>
      <c r="E85" s="50"/>
      <c r="F85" s="50"/>
      <c r="G85" s="50"/>
      <c r="H85" s="51"/>
      <c r="I85" s="51"/>
      <c r="J85" s="51"/>
      <c r="K85" s="51"/>
      <c r="L85" s="51"/>
      <c r="M85" s="51"/>
      <c r="N85" s="51"/>
      <c r="O85" s="51"/>
      <c r="P85" s="51"/>
      <c r="Q85" s="51"/>
      <c r="R85" s="51"/>
      <c r="S85" s="51"/>
      <c r="T85" s="51"/>
      <c r="U85" s="51"/>
      <c r="V85" s="51"/>
      <c r="W85" s="51"/>
      <c r="Y85" s="51"/>
      <c r="Z85" s="51"/>
      <c r="AA85" s="51"/>
      <c r="AB85" s="51"/>
      <c r="AC85" s="51"/>
      <c r="AD85" s="51"/>
      <c r="AE85" s="51"/>
      <c r="AF85" s="51"/>
      <c r="AG85" s="51"/>
      <c r="AH85" s="51"/>
      <c r="AI85" s="51"/>
      <c r="AJ85" s="51"/>
      <c r="AK85" s="51"/>
    </row>
    <row r="86" spans="1:37" x14ac:dyDescent="0.3">
      <c r="A86" s="50"/>
      <c r="B86" s="50"/>
      <c r="C86" s="50"/>
      <c r="D86" s="50"/>
      <c r="E86" s="50"/>
      <c r="F86" s="50"/>
      <c r="G86" s="50"/>
      <c r="H86" s="51"/>
      <c r="I86" s="51"/>
      <c r="J86" s="51"/>
      <c r="K86" s="51"/>
      <c r="L86" s="51"/>
      <c r="M86" s="51"/>
      <c r="N86" s="51"/>
      <c r="O86" s="51"/>
      <c r="P86" s="51"/>
      <c r="Q86" s="51"/>
      <c r="R86" s="51"/>
      <c r="S86" s="51"/>
      <c r="T86" s="51"/>
      <c r="U86" s="51"/>
      <c r="V86" s="51"/>
      <c r="W86" s="51"/>
      <c r="Y86" s="51"/>
      <c r="Z86" s="51"/>
      <c r="AA86" s="51"/>
      <c r="AB86" s="51"/>
      <c r="AC86" s="51"/>
      <c r="AD86" s="51"/>
      <c r="AE86" s="51"/>
      <c r="AF86" s="51"/>
      <c r="AG86" s="51"/>
      <c r="AH86" s="51"/>
      <c r="AI86" s="51"/>
      <c r="AJ86" s="51"/>
      <c r="AK86" s="51"/>
    </row>
    <row r="87" spans="1:37" x14ac:dyDescent="0.3">
      <c r="A87" s="50"/>
      <c r="B87" s="50"/>
      <c r="C87" s="50"/>
      <c r="D87" s="50"/>
      <c r="E87" s="50"/>
      <c r="F87" s="50"/>
      <c r="G87" s="50"/>
      <c r="H87" s="51"/>
      <c r="I87" s="51"/>
      <c r="J87" s="51"/>
      <c r="K87" s="51"/>
      <c r="L87" s="51"/>
      <c r="M87" s="51"/>
      <c r="N87" s="51"/>
      <c r="O87" s="51"/>
      <c r="P87" s="51"/>
      <c r="Q87" s="51"/>
      <c r="R87" s="51"/>
      <c r="S87" s="51"/>
      <c r="T87" s="51"/>
      <c r="U87" s="51"/>
      <c r="V87" s="51"/>
      <c r="W87" s="51"/>
      <c r="Y87" s="51"/>
      <c r="Z87" s="51"/>
      <c r="AA87" s="51"/>
      <c r="AB87" s="51"/>
      <c r="AC87" s="51"/>
      <c r="AD87" s="51"/>
      <c r="AE87" s="51"/>
      <c r="AF87" s="51"/>
      <c r="AG87" s="51"/>
      <c r="AH87" s="51"/>
      <c r="AI87" s="51"/>
      <c r="AJ87" s="51"/>
      <c r="AK87" s="51"/>
    </row>
    <row r="88" spans="1:37" x14ac:dyDescent="0.3">
      <c r="A88" s="50"/>
      <c r="B88" s="50"/>
      <c r="C88" s="50"/>
      <c r="D88" s="50"/>
      <c r="E88" s="50"/>
      <c r="F88" s="50"/>
      <c r="G88" s="50"/>
      <c r="H88" s="51"/>
      <c r="I88" s="51"/>
      <c r="J88" s="51"/>
      <c r="K88" s="51"/>
      <c r="L88" s="51"/>
      <c r="M88" s="51"/>
      <c r="N88" s="51"/>
      <c r="O88" s="51"/>
      <c r="P88" s="51"/>
      <c r="Q88" s="51"/>
      <c r="R88" s="51"/>
      <c r="S88" s="51"/>
      <c r="T88" s="51"/>
      <c r="U88" s="51"/>
      <c r="V88" s="51"/>
      <c r="W88" s="51"/>
      <c r="Y88" s="51"/>
      <c r="Z88" s="51"/>
      <c r="AA88" s="51"/>
      <c r="AB88" s="51"/>
      <c r="AC88" s="51"/>
      <c r="AD88" s="51"/>
      <c r="AE88" s="51"/>
      <c r="AF88" s="51"/>
      <c r="AG88" s="51"/>
      <c r="AH88" s="51"/>
      <c r="AI88" s="51"/>
      <c r="AJ88" s="51"/>
      <c r="AK88" s="51"/>
    </row>
    <row r="89" spans="1:37" x14ac:dyDescent="0.3">
      <c r="A89" s="50"/>
      <c r="B89" s="50"/>
      <c r="C89" s="50"/>
      <c r="D89" s="50"/>
      <c r="E89" s="50"/>
      <c r="F89" s="50"/>
      <c r="G89" s="50"/>
      <c r="H89" s="51"/>
      <c r="I89" s="51"/>
      <c r="J89" s="51"/>
      <c r="K89" s="51"/>
      <c r="L89" s="51"/>
      <c r="M89" s="51"/>
      <c r="N89" s="51"/>
      <c r="O89" s="51"/>
      <c r="P89" s="51"/>
      <c r="Q89" s="51"/>
      <c r="R89" s="51"/>
      <c r="S89" s="51"/>
      <c r="T89" s="51"/>
      <c r="U89" s="51"/>
      <c r="V89" s="51"/>
      <c r="W89" s="51"/>
      <c r="Y89" s="51"/>
      <c r="Z89" s="51"/>
      <c r="AA89" s="51"/>
      <c r="AB89" s="51"/>
      <c r="AC89" s="51"/>
      <c r="AD89" s="51"/>
      <c r="AE89" s="51"/>
      <c r="AF89" s="51"/>
      <c r="AG89" s="51"/>
      <c r="AH89" s="51"/>
      <c r="AI89" s="51"/>
      <c r="AJ89" s="51"/>
      <c r="AK89" s="51"/>
    </row>
    <row r="90" spans="1:37" x14ac:dyDescent="0.3">
      <c r="A90" s="50"/>
      <c r="B90" s="50"/>
      <c r="C90" s="50"/>
      <c r="D90" s="50"/>
      <c r="E90" s="50"/>
      <c r="F90" s="50"/>
      <c r="G90" s="50"/>
      <c r="H90" s="51"/>
      <c r="I90" s="51"/>
      <c r="J90" s="51"/>
      <c r="K90" s="51"/>
      <c r="L90" s="51"/>
      <c r="M90" s="51"/>
      <c r="N90" s="51"/>
      <c r="O90" s="51"/>
      <c r="P90" s="51"/>
      <c r="Q90" s="51"/>
      <c r="R90" s="51"/>
      <c r="S90" s="51"/>
      <c r="T90" s="51"/>
      <c r="U90" s="51"/>
      <c r="V90" s="51"/>
      <c r="W90" s="51"/>
      <c r="Y90" s="51"/>
      <c r="Z90" s="51"/>
      <c r="AA90" s="51"/>
      <c r="AB90" s="51"/>
      <c r="AC90" s="51"/>
      <c r="AD90" s="51"/>
      <c r="AE90" s="51"/>
      <c r="AF90" s="51"/>
      <c r="AG90" s="51"/>
      <c r="AH90" s="51"/>
      <c r="AI90" s="51"/>
      <c r="AJ90" s="51"/>
      <c r="AK90" s="51"/>
    </row>
    <row r="91" spans="1:37" x14ac:dyDescent="0.3">
      <c r="A91" s="50"/>
      <c r="B91" s="50"/>
      <c r="C91" s="50"/>
      <c r="D91" s="50"/>
      <c r="E91" s="50"/>
      <c r="F91" s="50"/>
      <c r="G91" s="50"/>
      <c r="H91" s="51"/>
      <c r="I91" s="51"/>
      <c r="J91" s="51"/>
      <c r="K91" s="51"/>
      <c r="L91" s="51"/>
      <c r="M91" s="51"/>
      <c r="N91" s="51"/>
      <c r="O91" s="51"/>
      <c r="P91" s="51"/>
      <c r="Q91" s="51"/>
      <c r="R91" s="51"/>
      <c r="S91" s="51"/>
      <c r="T91" s="51"/>
      <c r="U91" s="51"/>
      <c r="V91" s="51"/>
      <c r="W91" s="51"/>
      <c r="Y91" s="51"/>
      <c r="Z91" s="51"/>
      <c r="AA91" s="51"/>
      <c r="AB91" s="51"/>
      <c r="AC91" s="51"/>
      <c r="AD91" s="51"/>
      <c r="AE91" s="51"/>
      <c r="AF91" s="51"/>
      <c r="AG91" s="51"/>
      <c r="AH91" s="51"/>
      <c r="AI91" s="51"/>
      <c r="AJ91" s="51"/>
      <c r="AK91" s="51"/>
    </row>
    <row r="92" spans="1:37" x14ac:dyDescent="0.3">
      <c r="A92" s="50"/>
      <c r="B92" s="50"/>
      <c r="C92" s="50"/>
      <c r="D92" s="50"/>
      <c r="E92" s="50"/>
      <c r="F92" s="50" t="s">
        <v>134</v>
      </c>
      <c r="G92" s="50"/>
      <c r="H92" s="51"/>
      <c r="I92" s="51"/>
      <c r="J92" s="51"/>
      <c r="K92" s="51"/>
      <c r="L92" s="51"/>
      <c r="M92" s="51"/>
      <c r="N92" s="51"/>
      <c r="O92" s="51"/>
      <c r="P92" s="51"/>
      <c r="Q92" s="51"/>
      <c r="R92" s="51"/>
      <c r="S92" s="51"/>
      <c r="T92" s="51"/>
      <c r="U92" s="51"/>
      <c r="V92" s="51"/>
      <c r="W92" s="51"/>
      <c r="Y92" s="51"/>
      <c r="Z92" s="51"/>
      <c r="AA92" s="51"/>
      <c r="AB92" s="51"/>
      <c r="AC92" s="51"/>
      <c r="AD92" s="51"/>
      <c r="AE92" s="51"/>
      <c r="AF92" s="51"/>
      <c r="AG92" s="51"/>
      <c r="AH92" s="51"/>
      <c r="AI92" s="51"/>
      <c r="AJ92" s="51"/>
      <c r="AK92" s="51"/>
    </row>
    <row r="93" spans="1:37" x14ac:dyDescent="0.3">
      <c r="A93" s="50"/>
      <c r="B93" s="50"/>
      <c r="C93" s="50"/>
      <c r="D93" s="50"/>
      <c r="E93" s="50"/>
      <c r="F93" s="50"/>
      <c r="G93" s="50" t="s">
        <v>135</v>
      </c>
      <c r="H93" s="51">
        <v>0</v>
      </c>
      <c r="I93" s="51">
        <v>750</v>
      </c>
      <c r="J93" s="51">
        <v>750</v>
      </c>
      <c r="K93" s="51">
        <v>750</v>
      </c>
      <c r="L93" s="51">
        <v>600</v>
      </c>
      <c r="M93" s="51">
        <v>600</v>
      </c>
      <c r="N93" s="51">
        <v>0</v>
      </c>
      <c r="O93" s="51">
        <v>750</v>
      </c>
      <c r="P93" s="51">
        <v>600</v>
      </c>
      <c r="Q93" s="51">
        <v>750</v>
      </c>
      <c r="R93" s="51">
        <v>750</v>
      </c>
      <c r="S93" s="51">
        <v>1500</v>
      </c>
      <c r="T93" s="51"/>
      <c r="U93" s="51">
        <f t="shared" ref="U93:U124" si="49">ROUND(SUM(H93:T93),5)</f>
        <v>7800</v>
      </c>
      <c r="V93" s="67">
        <v>11250</v>
      </c>
      <c r="W93" s="67">
        <v>11250</v>
      </c>
      <c r="X93" s="68" t="s">
        <v>246</v>
      </c>
      <c r="Y93" s="67">
        <f t="shared" ref="Y93:AI116" si="50">ROUND($W93/12,0)</f>
        <v>938</v>
      </c>
      <c r="Z93" s="67">
        <f t="shared" si="50"/>
        <v>938</v>
      </c>
      <c r="AA93" s="67">
        <f t="shared" si="50"/>
        <v>938</v>
      </c>
      <c r="AB93" s="67">
        <f t="shared" si="50"/>
        <v>938</v>
      </c>
      <c r="AC93" s="67">
        <f t="shared" si="50"/>
        <v>938</v>
      </c>
      <c r="AD93" s="67">
        <f t="shared" si="50"/>
        <v>938</v>
      </c>
      <c r="AE93" s="67">
        <f t="shared" si="50"/>
        <v>938</v>
      </c>
      <c r="AF93" s="67">
        <f t="shared" si="50"/>
        <v>938</v>
      </c>
      <c r="AG93" s="67">
        <f t="shared" si="50"/>
        <v>938</v>
      </c>
      <c r="AH93" s="67">
        <f t="shared" si="50"/>
        <v>938</v>
      </c>
      <c r="AI93" s="67">
        <f t="shared" si="50"/>
        <v>938</v>
      </c>
      <c r="AJ93" s="67">
        <f t="shared" ref="AJ93:AJ123" si="51">W93-Y93-Z93-AA93-AB93-AC93-AD93-AE93-AF93-AG93-AH93-AI93</f>
        <v>932</v>
      </c>
      <c r="AK93" s="67">
        <f t="shared" ref="AK93:AK123" si="52">SUM(Y93:AJ93)-W93</f>
        <v>0</v>
      </c>
    </row>
    <row r="94" spans="1:37" x14ac:dyDescent="0.3">
      <c r="A94" s="50"/>
      <c r="B94" s="50"/>
      <c r="C94" s="50"/>
      <c r="D94" s="50"/>
      <c r="E94" s="50"/>
      <c r="F94" s="50"/>
      <c r="G94" s="50" t="s">
        <v>136</v>
      </c>
      <c r="H94" s="51">
        <v>258.55</v>
      </c>
      <c r="I94" s="51">
        <v>206.84</v>
      </c>
      <c r="J94" s="51">
        <v>0</v>
      </c>
      <c r="K94" s="51">
        <v>210.34</v>
      </c>
      <c r="L94" s="51">
        <v>332.12</v>
      </c>
      <c r="M94" s="51">
        <v>403.48</v>
      </c>
      <c r="N94" s="51">
        <v>405.04</v>
      </c>
      <c r="O94" s="51">
        <v>200.52</v>
      </c>
      <c r="P94" s="51">
        <v>131.38999999999999</v>
      </c>
      <c r="Q94" s="51">
        <v>454.67</v>
      </c>
      <c r="R94" s="51">
        <v>340.52</v>
      </c>
      <c r="S94" s="51">
        <v>250</v>
      </c>
      <c r="T94" s="51"/>
      <c r="U94" s="51">
        <f t="shared" si="49"/>
        <v>3193.47</v>
      </c>
      <c r="V94" s="67">
        <v>3600</v>
      </c>
      <c r="W94" s="67">
        <v>3600</v>
      </c>
      <c r="Y94" s="67">
        <f t="shared" si="50"/>
        <v>300</v>
      </c>
      <c r="Z94" s="67">
        <f t="shared" si="50"/>
        <v>300</v>
      </c>
      <c r="AA94" s="67">
        <f t="shared" si="50"/>
        <v>300</v>
      </c>
      <c r="AB94" s="67">
        <f t="shared" si="50"/>
        <v>300</v>
      </c>
      <c r="AC94" s="67">
        <f t="shared" si="50"/>
        <v>300</v>
      </c>
      <c r="AD94" s="67">
        <f t="shared" si="50"/>
        <v>300</v>
      </c>
      <c r="AE94" s="67">
        <f t="shared" si="50"/>
        <v>300</v>
      </c>
      <c r="AF94" s="67">
        <f t="shared" si="50"/>
        <v>300</v>
      </c>
      <c r="AG94" s="67">
        <f t="shared" si="50"/>
        <v>300</v>
      </c>
      <c r="AH94" s="67">
        <f t="shared" si="50"/>
        <v>300</v>
      </c>
      <c r="AI94" s="67">
        <f t="shared" si="50"/>
        <v>300</v>
      </c>
      <c r="AJ94" s="67">
        <f t="shared" si="51"/>
        <v>300</v>
      </c>
      <c r="AK94" s="67">
        <f t="shared" si="52"/>
        <v>0</v>
      </c>
    </row>
    <row r="95" spans="1:37" x14ac:dyDescent="0.3">
      <c r="A95" s="50"/>
      <c r="B95" s="50"/>
      <c r="C95" s="50"/>
      <c r="D95" s="50"/>
      <c r="E95" s="50"/>
      <c r="F95" s="50"/>
      <c r="G95" s="50" t="s">
        <v>137</v>
      </c>
      <c r="H95" s="51">
        <v>0</v>
      </c>
      <c r="I95" s="51">
        <v>260.75</v>
      </c>
      <c r="J95" s="51">
        <v>0</v>
      </c>
      <c r="K95" s="51">
        <v>260.63</v>
      </c>
      <c r="L95" s="51">
        <v>551.49</v>
      </c>
      <c r="M95" s="51">
        <v>0</v>
      </c>
      <c r="N95" s="51">
        <v>470.42</v>
      </c>
      <c r="O95" s="51">
        <v>210.39</v>
      </c>
      <c r="P95" s="51">
        <v>210.39</v>
      </c>
      <c r="Q95" s="51">
        <v>420.66</v>
      </c>
      <c r="R95" s="51">
        <v>0</v>
      </c>
      <c r="S95" s="51">
        <v>512.9</v>
      </c>
      <c r="T95" s="51"/>
      <c r="U95" s="51">
        <f t="shared" si="49"/>
        <v>2897.63</v>
      </c>
      <c r="V95" s="67">
        <v>3300</v>
      </c>
      <c r="W95" s="67">
        <v>3300</v>
      </c>
      <c r="Y95" s="67">
        <f t="shared" si="50"/>
        <v>275</v>
      </c>
      <c r="Z95" s="67">
        <f t="shared" si="50"/>
        <v>275</v>
      </c>
      <c r="AA95" s="67">
        <f t="shared" si="50"/>
        <v>275</v>
      </c>
      <c r="AB95" s="67">
        <f t="shared" si="50"/>
        <v>275</v>
      </c>
      <c r="AC95" s="67">
        <f t="shared" si="50"/>
        <v>275</v>
      </c>
      <c r="AD95" s="67">
        <f t="shared" si="50"/>
        <v>275</v>
      </c>
      <c r="AE95" s="67">
        <f t="shared" si="50"/>
        <v>275</v>
      </c>
      <c r="AF95" s="67">
        <f t="shared" si="50"/>
        <v>275</v>
      </c>
      <c r="AG95" s="67">
        <f t="shared" si="50"/>
        <v>275</v>
      </c>
      <c r="AH95" s="67">
        <f t="shared" si="50"/>
        <v>275</v>
      </c>
      <c r="AI95" s="67">
        <f t="shared" si="50"/>
        <v>275</v>
      </c>
      <c r="AJ95" s="67">
        <f t="shared" si="51"/>
        <v>275</v>
      </c>
      <c r="AK95" s="67">
        <f t="shared" si="52"/>
        <v>0</v>
      </c>
    </row>
    <row r="96" spans="1:37" ht="13.8" customHeight="1" x14ac:dyDescent="0.3">
      <c r="A96" s="50"/>
      <c r="B96" s="50"/>
      <c r="C96" s="50"/>
      <c r="D96" s="50"/>
      <c r="E96" s="50"/>
      <c r="F96" s="50"/>
      <c r="G96" s="50" t="s">
        <v>138</v>
      </c>
      <c r="H96" s="51">
        <v>0</v>
      </c>
      <c r="I96" s="51">
        <v>0</v>
      </c>
      <c r="J96" s="51">
        <v>0</v>
      </c>
      <c r="K96" s="51">
        <v>0</v>
      </c>
      <c r="L96" s="51">
        <v>0</v>
      </c>
      <c r="M96" s="51">
        <v>0</v>
      </c>
      <c r="N96" s="51">
        <v>0</v>
      </c>
      <c r="O96" s="51">
        <v>0</v>
      </c>
      <c r="P96" s="51">
        <v>0</v>
      </c>
      <c r="Q96" s="51">
        <v>0</v>
      </c>
      <c r="R96" s="51">
        <v>0</v>
      </c>
      <c r="S96" s="51">
        <v>0</v>
      </c>
      <c r="T96" s="51"/>
      <c r="U96" s="51">
        <f t="shared" si="49"/>
        <v>0</v>
      </c>
      <c r="V96" s="67">
        <v>0</v>
      </c>
      <c r="W96" s="67">
        <v>1200</v>
      </c>
      <c r="X96" s="68" t="s">
        <v>295</v>
      </c>
      <c r="Y96" s="67">
        <f t="shared" si="50"/>
        <v>100</v>
      </c>
      <c r="Z96" s="67">
        <f t="shared" si="50"/>
        <v>100</v>
      </c>
      <c r="AA96" s="67">
        <f t="shared" si="50"/>
        <v>100</v>
      </c>
      <c r="AB96" s="67">
        <f t="shared" si="50"/>
        <v>100</v>
      </c>
      <c r="AC96" s="67">
        <f t="shared" si="50"/>
        <v>100</v>
      </c>
      <c r="AD96" s="67">
        <f t="shared" si="50"/>
        <v>100</v>
      </c>
      <c r="AE96" s="67">
        <f t="shared" si="50"/>
        <v>100</v>
      </c>
      <c r="AF96" s="67">
        <f t="shared" si="50"/>
        <v>100</v>
      </c>
      <c r="AG96" s="67">
        <f t="shared" si="50"/>
        <v>100</v>
      </c>
      <c r="AH96" s="67">
        <f t="shared" si="50"/>
        <v>100</v>
      </c>
      <c r="AI96" s="67">
        <f t="shared" si="50"/>
        <v>100</v>
      </c>
      <c r="AJ96" s="67">
        <f t="shared" si="51"/>
        <v>100</v>
      </c>
      <c r="AK96" s="67">
        <f t="shared" si="52"/>
        <v>0</v>
      </c>
    </row>
    <row r="97" spans="1:38" x14ac:dyDescent="0.3">
      <c r="A97" s="50"/>
      <c r="B97" s="50"/>
      <c r="C97" s="50"/>
      <c r="D97" s="50"/>
      <c r="E97" s="50"/>
      <c r="F97" s="50"/>
      <c r="G97" s="50" t="s">
        <v>139</v>
      </c>
      <c r="H97" s="51">
        <v>1321.74</v>
      </c>
      <c r="I97" s="51">
        <v>1321.74</v>
      </c>
      <c r="J97" s="51">
        <v>1321.74</v>
      </c>
      <c r="K97" s="51">
        <v>1321.74</v>
      </c>
      <c r="L97" s="51">
        <v>1371.24</v>
      </c>
      <c r="M97" s="51">
        <v>1371.24</v>
      </c>
      <c r="N97" s="51">
        <v>1371.24</v>
      </c>
      <c r="O97" s="51">
        <v>1371.24</v>
      </c>
      <c r="P97" s="51">
        <v>1371.24</v>
      </c>
      <c r="Q97" s="51">
        <v>1424.65</v>
      </c>
      <c r="R97" s="51">
        <v>1371.24</v>
      </c>
      <c r="S97" s="51">
        <v>1371.24</v>
      </c>
      <c r="T97" s="51"/>
      <c r="U97" s="51">
        <f t="shared" si="49"/>
        <v>16310.29</v>
      </c>
      <c r="V97" s="67">
        <v>15900</v>
      </c>
      <c r="W97" s="67">
        <v>20500</v>
      </c>
      <c r="X97" s="68" t="s">
        <v>302</v>
      </c>
      <c r="Y97" s="67">
        <f t="shared" si="50"/>
        <v>1708</v>
      </c>
      <c r="Z97" s="67">
        <f t="shared" si="50"/>
        <v>1708</v>
      </c>
      <c r="AA97" s="67">
        <f t="shared" si="50"/>
        <v>1708</v>
      </c>
      <c r="AB97" s="67">
        <f t="shared" si="50"/>
        <v>1708</v>
      </c>
      <c r="AC97" s="67">
        <f t="shared" si="50"/>
        <v>1708</v>
      </c>
      <c r="AD97" s="67">
        <f t="shared" si="50"/>
        <v>1708</v>
      </c>
      <c r="AE97" s="67">
        <f t="shared" si="50"/>
        <v>1708</v>
      </c>
      <c r="AF97" s="67">
        <f t="shared" si="50"/>
        <v>1708</v>
      </c>
      <c r="AG97" s="67">
        <f t="shared" si="50"/>
        <v>1708</v>
      </c>
      <c r="AH97" s="67">
        <f t="shared" si="50"/>
        <v>1708</v>
      </c>
      <c r="AI97" s="67">
        <f t="shared" si="50"/>
        <v>1708</v>
      </c>
      <c r="AJ97" s="67">
        <f t="shared" si="51"/>
        <v>1712</v>
      </c>
      <c r="AK97" s="67">
        <f t="shared" si="52"/>
        <v>0</v>
      </c>
    </row>
    <row r="98" spans="1:38" x14ac:dyDescent="0.3">
      <c r="A98" s="50"/>
      <c r="B98" s="50"/>
      <c r="C98" s="50"/>
      <c r="D98" s="50"/>
      <c r="E98" s="50"/>
      <c r="F98" s="50"/>
      <c r="G98" s="50" t="s">
        <v>140</v>
      </c>
      <c r="H98" s="51">
        <v>0</v>
      </c>
      <c r="I98" s="51">
        <v>120</v>
      </c>
      <c r="J98" s="51">
        <v>0</v>
      </c>
      <c r="K98" s="51">
        <v>2669</v>
      </c>
      <c r="L98" s="51">
        <v>284</v>
      </c>
      <c r="M98" s="51">
        <v>0</v>
      </c>
      <c r="N98" s="51">
        <v>0</v>
      </c>
      <c r="O98" s="51">
        <v>175</v>
      </c>
      <c r="P98" s="51">
        <v>0</v>
      </c>
      <c r="Q98" s="51">
        <v>300</v>
      </c>
      <c r="R98" s="51">
        <v>0</v>
      </c>
      <c r="S98" s="51">
        <v>0</v>
      </c>
      <c r="T98" s="51"/>
      <c r="U98" s="51">
        <f t="shared" si="49"/>
        <v>3548</v>
      </c>
      <c r="V98" s="67">
        <v>2600</v>
      </c>
      <c r="W98" s="67">
        <v>3600</v>
      </c>
      <c r="X98" s="68" t="s">
        <v>258</v>
      </c>
      <c r="Y98" s="67">
        <f t="shared" si="50"/>
        <v>300</v>
      </c>
      <c r="Z98" s="67">
        <f t="shared" si="50"/>
        <v>300</v>
      </c>
      <c r="AA98" s="67">
        <f t="shared" si="50"/>
        <v>300</v>
      </c>
      <c r="AB98" s="67">
        <f t="shared" si="50"/>
        <v>300</v>
      </c>
      <c r="AC98" s="67">
        <f t="shared" si="50"/>
        <v>300</v>
      </c>
      <c r="AD98" s="67">
        <f t="shared" si="50"/>
        <v>300</v>
      </c>
      <c r="AE98" s="67">
        <f t="shared" si="50"/>
        <v>300</v>
      </c>
      <c r="AF98" s="67">
        <f t="shared" si="50"/>
        <v>300</v>
      </c>
      <c r="AG98" s="67">
        <f t="shared" si="50"/>
        <v>300</v>
      </c>
      <c r="AH98" s="67">
        <f t="shared" si="50"/>
        <v>300</v>
      </c>
      <c r="AI98" s="67">
        <f t="shared" si="50"/>
        <v>300</v>
      </c>
      <c r="AJ98" s="67">
        <f t="shared" si="51"/>
        <v>300</v>
      </c>
      <c r="AK98" s="67">
        <f t="shared" si="52"/>
        <v>0</v>
      </c>
    </row>
    <row r="99" spans="1:38" x14ac:dyDescent="0.3">
      <c r="A99" s="50"/>
      <c r="B99" s="50"/>
      <c r="C99" s="50"/>
      <c r="D99" s="50"/>
      <c r="E99" s="50"/>
      <c r="F99" s="50"/>
      <c r="G99" s="50" t="s">
        <v>141</v>
      </c>
      <c r="H99" s="51">
        <v>16</v>
      </c>
      <c r="I99" s="51">
        <v>16</v>
      </c>
      <c r="J99" s="51">
        <v>16</v>
      </c>
      <c r="K99" s="51">
        <v>16</v>
      </c>
      <c r="L99" s="51">
        <v>31</v>
      </c>
      <c r="M99" s="51">
        <v>16</v>
      </c>
      <c r="N99" s="51">
        <v>16</v>
      </c>
      <c r="O99" s="51">
        <v>26</v>
      </c>
      <c r="P99" s="51">
        <v>16</v>
      </c>
      <c r="Q99" s="51">
        <v>26</v>
      </c>
      <c r="R99" s="51">
        <v>16</v>
      </c>
      <c r="S99" s="51">
        <v>16</v>
      </c>
      <c r="T99" s="51"/>
      <c r="U99" s="51">
        <f t="shared" si="49"/>
        <v>227</v>
      </c>
      <c r="V99" s="67">
        <v>300</v>
      </c>
      <c r="W99" s="67">
        <v>300</v>
      </c>
      <c r="Y99" s="67">
        <f t="shared" si="50"/>
        <v>25</v>
      </c>
      <c r="Z99" s="67">
        <f t="shared" si="50"/>
        <v>25</v>
      </c>
      <c r="AA99" s="67">
        <f t="shared" si="50"/>
        <v>25</v>
      </c>
      <c r="AB99" s="67">
        <f t="shared" si="50"/>
        <v>25</v>
      </c>
      <c r="AC99" s="67">
        <f t="shared" si="50"/>
        <v>25</v>
      </c>
      <c r="AD99" s="67">
        <f t="shared" si="50"/>
        <v>25</v>
      </c>
      <c r="AE99" s="67">
        <f t="shared" si="50"/>
        <v>25</v>
      </c>
      <c r="AF99" s="67">
        <f t="shared" si="50"/>
        <v>25</v>
      </c>
      <c r="AG99" s="67">
        <f t="shared" si="50"/>
        <v>25</v>
      </c>
      <c r="AH99" s="67">
        <f t="shared" si="50"/>
        <v>25</v>
      </c>
      <c r="AI99" s="67">
        <f t="shared" si="50"/>
        <v>25</v>
      </c>
      <c r="AJ99" s="67">
        <f t="shared" si="51"/>
        <v>25</v>
      </c>
      <c r="AK99" s="67">
        <f t="shared" si="52"/>
        <v>0</v>
      </c>
    </row>
    <row r="100" spans="1:38" x14ac:dyDescent="0.3">
      <c r="A100" s="50"/>
      <c r="B100" s="50"/>
      <c r="C100" s="50"/>
      <c r="D100" s="50"/>
      <c r="E100" s="50"/>
      <c r="F100" s="50"/>
      <c r="G100" s="50" t="s">
        <v>142</v>
      </c>
      <c r="H100" s="51">
        <v>0</v>
      </c>
      <c r="I100" s="51">
        <v>0</v>
      </c>
      <c r="J100" s="51">
        <v>0</v>
      </c>
      <c r="K100" s="51">
        <v>0</v>
      </c>
      <c r="L100" s="51">
        <v>0</v>
      </c>
      <c r="M100" s="51">
        <v>0</v>
      </c>
      <c r="N100" s="51">
        <v>0</v>
      </c>
      <c r="O100" s="51">
        <v>0</v>
      </c>
      <c r="P100" s="51">
        <v>0</v>
      </c>
      <c r="Q100" s="51">
        <v>149.9</v>
      </c>
      <c r="R100" s="51">
        <v>2.99</v>
      </c>
      <c r="S100" s="51">
        <v>0</v>
      </c>
      <c r="T100" s="51"/>
      <c r="U100" s="51">
        <f t="shared" si="49"/>
        <v>152.88999999999999</v>
      </c>
      <c r="V100" s="67">
        <v>2000</v>
      </c>
      <c r="W100" s="67">
        <v>500</v>
      </c>
      <c r="Y100" s="67">
        <f t="shared" si="50"/>
        <v>42</v>
      </c>
      <c r="Z100" s="67">
        <f t="shared" si="50"/>
        <v>42</v>
      </c>
      <c r="AA100" s="67">
        <f t="shared" si="50"/>
        <v>42</v>
      </c>
      <c r="AB100" s="67">
        <f t="shared" si="50"/>
        <v>42</v>
      </c>
      <c r="AC100" s="67">
        <f t="shared" si="50"/>
        <v>42</v>
      </c>
      <c r="AD100" s="67">
        <f t="shared" si="50"/>
        <v>42</v>
      </c>
      <c r="AE100" s="67">
        <f t="shared" si="50"/>
        <v>42</v>
      </c>
      <c r="AF100" s="67">
        <f t="shared" si="50"/>
        <v>42</v>
      </c>
      <c r="AG100" s="67">
        <f t="shared" si="50"/>
        <v>42</v>
      </c>
      <c r="AH100" s="67">
        <f t="shared" si="50"/>
        <v>42</v>
      </c>
      <c r="AI100" s="67">
        <f t="shared" si="50"/>
        <v>42</v>
      </c>
      <c r="AJ100" s="67">
        <f t="shared" si="51"/>
        <v>38</v>
      </c>
      <c r="AK100" s="67">
        <f t="shared" si="52"/>
        <v>0</v>
      </c>
    </row>
    <row r="101" spans="1:38" x14ac:dyDescent="0.3">
      <c r="A101" s="50"/>
      <c r="B101" s="50"/>
      <c r="C101" s="50"/>
      <c r="D101" s="50"/>
      <c r="E101" s="50"/>
      <c r="F101" s="50"/>
      <c r="G101" s="50" t="s">
        <v>143</v>
      </c>
      <c r="H101" s="51">
        <v>2.99</v>
      </c>
      <c r="I101" s="51">
        <v>356.44</v>
      </c>
      <c r="J101" s="51">
        <v>356.92</v>
      </c>
      <c r="K101" s="51">
        <v>356.92</v>
      </c>
      <c r="L101" s="51">
        <v>848.03</v>
      </c>
      <c r="M101" s="51">
        <v>497.98</v>
      </c>
      <c r="N101" s="51">
        <v>354.64</v>
      </c>
      <c r="O101" s="51">
        <v>371.91</v>
      </c>
      <c r="P101" s="51">
        <v>815.47</v>
      </c>
      <c r="Q101" s="51">
        <v>374.57</v>
      </c>
      <c r="R101" s="51">
        <v>0</v>
      </c>
      <c r="S101" s="51">
        <v>566.09</v>
      </c>
      <c r="T101" s="51"/>
      <c r="U101" s="51">
        <f t="shared" si="49"/>
        <v>4901.96</v>
      </c>
      <c r="V101" s="67">
        <v>7000</v>
      </c>
      <c r="W101" s="67">
        <v>7000</v>
      </c>
      <c r="Y101" s="67">
        <f t="shared" si="50"/>
        <v>583</v>
      </c>
      <c r="Z101" s="67">
        <f t="shared" si="50"/>
        <v>583</v>
      </c>
      <c r="AA101" s="67">
        <f t="shared" si="50"/>
        <v>583</v>
      </c>
      <c r="AB101" s="67">
        <f t="shared" si="50"/>
        <v>583</v>
      </c>
      <c r="AC101" s="67">
        <f t="shared" si="50"/>
        <v>583</v>
      </c>
      <c r="AD101" s="67">
        <f t="shared" si="50"/>
        <v>583</v>
      </c>
      <c r="AE101" s="67">
        <f t="shared" si="50"/>
        <v>583</v>
      </c>
      <c r="AF101" s="67">
        <f t="shared" si="50"/>
        <v>583</v>
      </c>
      <c r="AG101" s="67">
        <f t="shared" si="50"/>
        <v>583</v>
      </c>
      <c r="AH101" s="67">
        <f t="shared" si="50"/>
        <v>583</v>
      </c>
      <c r="AI101" s="67">
        <f t="shared" si="50"/>
        <v>583</v>
      </c>
      <c r="AJ101" s="67">
        <f t="shared" si="51"/>
        <v>587</v>
      </c>
      <c r="AK101" s="67">
        <f t="shared" si="52"/>
        <v>0</v>
      </c>
    </row>
    <row r="102" spans="1:38" x14ac:dyDescent="0.3">
      <c r="A102" s="50"/>
      <c r="B102" s="50"/>
      <c r="C102" s="50"/>
      <c r="D102" s="50"/>
      <c r="E102" s="50"/>
      <c r="F102" s="50"/>
      <c r="G102" s="50" t="s">
        <v>144</v>
      </c>
      <c r="H102" s="51">
        <v>0</v>
      </c>
      <c r="I102" s="51">
        <v>0</v>
      </c>
      <c r="J102" s="51">
        <v>0</v>
      </c>
      <c r="K102" s="51">
        <v>0</v>
      </c>
      <c r="L102" s="51">
        <v>0</v>
      </c>
      <c r="M102" s="51">
        <v>0</v>
      </c>
      <c r="N102" s="51">
        <v>418.65</v>
      </c>
      <c r="O102" s="51">
        <v>0</v>
      </c>
      <c r="P102" s="51">
        <v>270.52</v>
      </c>
      <c r="Q102" s="51">
        <v>0</v>
      </c>
      <c r="R102" s="51">
        <v>0</v>
      </c>
      <c r="S102" s="51">
        <v>0</v>
      </c>
      <c r="T102" s="51"/>
      <c r="U102" s="51">
        <f t="shared" si="49"/>
        <v>689.17</v>
      </c>
      <c r="V102" s="67">
        <v>0</v>
      </c>
      <c r="W102" s="67">
        <v>1000</v>
      </c>
      <c r="X102" s="68" t="s">
        <v>296</v>
      </c>
      <c r="Y102" s="67">
        <f t="shared" si="50"/>
        <v>83</v>
      </c>
      <c r="Z102" s="67">
        <f t="shared" si="50"/>
        <v>83</v>
      </c>
      <c r="AA102" s="67">
        <f t="shared" si="50"/>
        <v>83</v>
      </c>
      <c r="AB102" s="67">
        <f t="shared" si="50"/>
        <v>83</v>
      </c>
      <c r="AC102" s="67">
        <f t="shared" si="50"/>
        <v>83</v>
      </c>
      <c r="AD102" s="67">
        <f t="shared" si="50"/>
        <v>83</v>
      </c>
      <c r="AE102" s="67">
        <f t="shared" si="50"/>
        <v>83</v>
      </c>
      <c r="AF102" s="67">
        <f t="shared" si="50"/>
        <v>83</v>
      </c>
      <c r="AG102" s="67">
        <f t="shared" si="50"/>
        <v>83</v>
      </c>
      <c r="AH102" s="67">
        <f t="shared" si="50"/>
        <v>83</v>
      </c>
      <c r="AI102" s="67">
        <f t="shared" si="50"/>
        <v>83</v>
      </c>
      <c r="AJ102" s="67">
        <f t="shared" si="51"/>
        <v>87</v>
      </c>
      <c r="AK102" s="67">
        <f t="shared" si="52"/>
        <v>0</v>
      </c>
    </row>
    <row r="103" spans="1:38" x14ac:dyDescent="0.3">
      <c r="A103" s="50"/>
      <c r="B103" s="50"/>
      <c r="C103" s="50"/>
      <c r="D103" s="50"/>
      <c r="E103" s="50"/>
      <c r="F103" s="50"/>
      <c r="G103" s="50" t="s">
        <v>145</v>
      </c>
      <c r="H103" s="51">
        <v>364.31</v>
      </c>
      <c r="I103" s="51">
        <v>41.55</v>
      </c>
      <c r="J103" s="51">
        <v>778.44</v>
      </c>
      <c r="K103" s="51">
        <v>71.599999999999994</v>
      </c>
      <c r="L103" s="51">
        <v>0</v>
      </c>
      <c r="M103" s="51">
        <v>601.58000000000004</v>
      </c>
      <c r="N103" s="51">
        <v>0</v>
      </c>
      <c r="O103" s="51">
        <v>0</v>
      </c>
      <c r="P103" s="51">
        <v>411.56</v>
      </c>
      <c r="Q103" s="51">
        <v>137.16999999999999</v>
      </c>
      <c r="R103" s="51">
        <v>0</v>
      </c>
      <c r="S103" s="51">
        <v>134.16</v>
      </c>
      <c r="T103" s="51"/>
      <c r="U103" s="51">
        <f t="shared" si="49"/>
        <v>2540.37</v>
      </c>
      <c r="V103" s="67">
        <v>3000</v>
      </c>
      <c r="W103" s="67">
        <v>3000</v>
      </c>
      <c r="Y103" s="67">
        <f t="shared" si="50"/>
        <v>250</v>
      </c>
      <c r="Z103" s="67">
        <f t="shared" si="50"/>
        <v>250</v>
      </c>
      <c r="AA103" s="67">
        <f t="shared" si="50"/>
        <v>250</v>
      </c>
      <c r="AB103" s="67">
        <f t="shared" si="50"/>
        <v>250</v>
      </c>
      <c r="AC103" s="67">
        <f t="shared" si="50"/>
        <v>250</v>
      </c>
      <c r="AD103" s="67">
        <f t="shared" si="50"/>
        <v>250</v>
      </c>
      <c r="AE103" s="67">
        <f t="shared" si="50"/>
        <v>250</v>
      </c>
      <c r="AF103" s="67">
        <f t="shared" si="50"/>
        <v>250</v>
      </c>
      <c r="AG103" s="67">
        <f t="shared" si="50"/>
        <v>250</v>
      </c>
      <c r="AH103" s="67">
        <f t="shared" si="50"/>
        <v>250</v>
      </c>
      <c r="AI103" s="67">
        <f t="shared" si="50"/>
        <v>250</v>
      </c>
      <c r="AJ103" s="67">
        <f t="shared" si="51"/>
        <v>250</v>
      </c>
      <c r="AK103" s="67">
        <f t="shared" si="52"/>
        <v>0</v>
      </c>
    </row>
    <row r="104" spans="1:38" x14ac:dyDescent="0.3">
      <c r="A104" s="50"/>
      <c r="B104" s="50"/>
      <c r="C104" s="50"/>
      <c r="D104" s="50"/>
      <c r="E104" s="50"/>
      <c r="F104" s="50"/>
      <c r="G104" s="50" t="s">
        <v>146</v>
      </c>
      <c r="H104" s="51">
        <v>0</v>
      </c>
      <c r="I104" s="51">
        <v>0</v>
      </c>
      <c r="J104" s="51">
        <v>160.51</v>
      </c>
      <c r="K104" s="51">
        <v>232</v>
      </c>
      <c r="L104" s="51">
        <v>0</v>
      </c>
      <c r="M104" s="51">
        <v>0</v>
      </c>
      <c r="N104" s="51">
        <v>0</v>
      </c>
      <c r="O104" s="51">
        <v>0</v>
      </c>
      <c r="P104" s="51">
        <v>0</v>
      </c>
      <c r="Q104" s="51">
        <v>232</v>
      </c>
      <c r="R104" s="51">
        <v>0</v>
      </c>
      <c r="S104" s="51">
        <v>245</v>
      </c>
      <c r="T104" s="51"/>
      <c r="U104" s="51">
        <f t="shared" si="49"/>
        <v>869.51</v>
      </c>
      <c r="V104" s="67">
        <v>1000</v>
      </c>
      <c r="W104" s="67">
        <v>1000</v>
      </c>
      <c r="Y104" s="67">
        <f t="shared" si="50"/>
        <v>83</v>
      </c>
      <c r="Z104" s="67">
        <f t="shared" si="50"/>
        <v>83</v>
      </c>
      <c r="AA104" s="67">
        <f t="shared" si="50"/>
        <v>83</v>
      </c>
      <c r="AB104" s="67">
        <f t="shared" si="50"/>
        <v>83</v>
      </c>
      <c r="AC104" s="67">
        <f t="shared" si="50"/>
        <v>83</v>
      </c>
      <c r="AD104" s="67">
        <f t="shared" si="50"/>
        <v>83</v>
      </c>
      <c r="AE104" s="67">
        <f t="shared" si="50"/>
        <v>83</v>
      </c>
      <c r="AF104" s="67">
        <f t="shared" si="50"/>
        <v>83</v>
      </c>
      <c r="AG104" s="67">
        <f t="shared" si="50"/>
        <v>83</v>
      </c>
      <c r="AH104" s="67">
        <f t="shared" si="50"/>
        <v>83</v>
      </c>
      <c r="AI104" s="67">
        <f t="shared" si="50"/>
        <v>83</v>
      </c>
      <c r="AJ104" s="67">
        <f t="shared" si="51"/>
        <v>87</v>
      </c>
      <c r="AK104" s="67">
        <f t="shared" si="52"/>
        <v>0</v>
      </c>
    </row>
    <row r="105" spans="1:38" x14ac:dyDescent="0.3">
      <c r="A105" s="50"/>
      <c r="B105" s="50"/>
      <c r="C105" s="50"/>
      <c r="D105" s="50"/>
      <c r="E105" s="50"/>
      <c r="F105" s="50"/>
      <c r="G105" s="50" t="s">
        <v>147</v>
      </c>
      <c r="H105" s="51">
        <v>0</v>
      </c>
      <c r="I105" s="51">
        <v>0</v>
      </c>
      <c r="J105" s="51">
        <v>0</v>
      </c>
      <c r="K105" s="51">
        <v>0</v>
      </c>
      <c r="L105" s="51">
        <v>803.32</v>
      </c>
      <c r="M105" s="51">
        <v>0</v>
      </c>
      <c r="N105" s="51">
        <v>0</v>
      </c>
      <c r="O105" s="51">
        <v>0</v>
      </c>
      <c r="P105" s="51">
        <v>5.98</v>
      </c>
      <c r="Q105" s="51">
        <v>0</v>
      </c>
      <c r="R105" s="51">
        <v>0</v>
      </c>
      <c r="S105" s="51">
        <v>369.97</v>
      </c>
      <c r="T105" s="51"/>
      <c r="U105" s="51">
        <f t="shared" si="49"/>
        <v>1179.27</v>
      </c>
      <c r="V105" s="67">
        <v>2500</v>
      </c>
      <c r="W105" s="67">
        <v>2500</v>
      </c>
      <c r="Y105" s="67">
        <f t="shared" si="50"/>
        <v>208</v>
      </c>
      <c r="Z105" s="67">
        <f t="shared" si="50"/>
        <v>208</v>
      </c>
      <c r="AA105" s="67">
        <f t="shared" si="50"/>
        <v>208</v>
      </c>
      <c r="AB105" s="67">
        <f t="shared" si="50"/>
        <v>208</v>
      </c>
      <c r="AC105" s="67">
        <f t="shared" si="50"/>
        <v>208</v>
      </c>
      <c r="AD105" s="67">
        <f t="shared" si="50"/>
        <v>208</v>
      </c>
      <c r="AE105" s="67">
        <f t="shared" si="50"/>
        <v>208</v>
      </c>
      <c r="AF105" s="67">
        <f t="shared" si="50"/>
        <v>208</v>
      </c>
      <c r="AG105" s="67">
        <f t="shared" si="50"/>
        <v>208</v>
      </c>
      <c r="AH105" s="67">
        <f t="shared" si="50"/>
        <v>208</v>
      </c>
      <c r="AI105" s="67">
        <f t="shared" si="50"/>
        <v>208</v>
      </c>
      <c r="AJ105" s="67">
        <f t="shared" si="51"/>
        <v>212</v>
      </c>
      <c r="AK105" s="67">
        <f t="shared" si="52"/>
        <v>0</v>
      </c>
    </row>
    <row r="106" spans="1:38" x14ac:dyDescent="0.3">
      <c r="A106" s="50"/>
      <c r="B106" s="50"/>
      <c r="C106" s="50"/>
      <c r="D106" s="50"/>
      <c r="E106" s="50"/>
      <c r="F106" s="50"/>
      <c r="G106" s="50" t="s">
        <v>232</v>
      </c>
      <c r="H106" s="51">
        <v>92.05</v>
      </c>
      <c r="I106" s="51">
        <v>0</v>
      </c>
      <c r="J106" s="51">
        <v>0</v>
      </c>
      <c r="K106" s="51">
        <v>0</v>
      </c>
      <c r="L106" s="51">
        <v>0</v>
      </c>
      <c r="M106" s="51">
        <v>0</v>
      </c>
      <c r="N106" s="51">
        <v>0</v>
      </c>
      <c r="O106" s="51">
        <v>53.22</v>
      </c>
      <c r="P106" s="51">
        <v>0</v>
      </c>
      <c r="Q106" s="51">
        <v>30.5</v>
      </c>
      <c r="R106" s="51">
        <v>0</v>
      </c>
      <c r="S106" s="51">
        <v>0</v>
      </c>
      <c r="T106" s="51"/>
      <c r="U106" s="51">
        <f t="shared" si="49"/>
        <v>175.77</v>
      </c>
      <c r="V106" s="67">
        <v>2400</v>
      </c>
      <c r="W106" s="67">
        <v>2400</v>
      </c>
      <c r="Y106" s="67">
        <f t="shared" si="50"/>
        <v>200</v>
      </c>
      <c r="Z106" s="67">
        <f t="shared" si="50"/>
        <v>200</v>
      </c>
      <c r="AA106" s="67">
        <f t="shared" si="50"/>
        <v>200</v>
      </c>
      <c r="AB106" s="67">
        <f t="shared" si="50"/>
        <v>200</v>
      </c>
      <c r="AC106" s="67">
        <f t="shared" si="50"/>
        <v>200</v>
      </c>
      <c r="AD106" s="67">
        <f t="shared" si="50"/>
        <v>200</v>
      </c>
      <c r="AE106" s="67">
        <f t="shared" si="50"/>
        <v>200</v>
      </c>
      <c r="AF106" s="67">
        <f t="shared" si="50"/>
        <v>200</v>
      </c>
      <c r="AG106" s="67">
        <f t="shared" si="50"/>
        <v>200</v>
      </c>
      <c r="AH106" s="67">
        <f t="shared" si="50"/>
        <v>200</v>
      </c>
      <c r="AI106" s="67">
        <f t="shared" si="50"/>
        <v>200</v>
      </c>
      <c r="AJ106" s="67">
        <f t="shared" si="51"/>
        <v>200</v>
      </c>
      <c r="AK106" s="67">
        <f t="shared" si="52"/>
        <v>0</v>
      </c>
    </row>
    <row r="107" spans="1:38" x14ac:dyDescent="0.3">
      <c r="A107" s="50"/>
      <c r="B107" s="50"/>
      <c r="C107" s="50"/>
      <c r="D107" s="50"/>
      <c r="E107" s="50"/>
      <c r="F107" s="50"/>
      <c r="G107" s="50" t="s">
        <v>148</v>
      </c>
      <c r="H107" s="51">
        <v>115</v>
      </c>
      <c r="I107" s="51">
        <v>115</v>
      </c>
      <c r="J107" s="51">
        <v>230</v>
      </c>
      <c r="K107" s="51">
        <v>0</v>
      </c>
      <c r="L107" s="51">
        <v>115</v>
      </c>
      <c r="M107" s="51">
        <v>115</v>
      </c>
      <c r="N107" s="51">
        <v>115</v>
      </c>
      <c r="O107" s="51">
        <v>115</v>
      </c>
      <c r="P107" s="51">
        <v>115</v>
      </c>
      <c r="Q107" s="51">
        <v>115</v>
      </c>
      <c r="R107" s="51">
        <v>115</v>
      </c>
      <c r="S107" s="51">
        <v>115</v>
      </c>
      <c r="T107" s="51"/>
      <c r="U107" s="51">
        <f t="shared" si="49"/>
        <v>1380</v>
      </c>
      <c r="V107" s="67">
        <v>1400</v>
      </c>
      <c r="W107" s="67">
        <v>1400</v>
      </c>
      <c r="Y107" s="67">
        <f t="shared" si="50"/>
        <v>117</v>
      </c>
      <c r="Z107" s="67">
        <f t="shared" si="50"/>
        <v>117</v>
      </c>
      <c r="AA107" s="67">
        <f t="shared" si="50"/>
        <v>117</v>
      </c>
      <c r="AB107" s="67">
        <f t="shared" si="50"/>
        <v>117</v>
      </c>
      <c r="AC107" s="67">
        <f t="shared" si="50"/>
        <v>117</v>
      </c>
      <c r="AD107" s="67">
        <f t="shared" si="50"/>
        <v>117</v>
      </c>
      <c r="AE107" s="67">
        <f t="shared" si="50"/>
        <v>117</v>
      </c>
      <c r="AF107" s="67">
        <f t="shared" si="50"/>
        <v>117</v>
      </c>
      <c r="AG107" s="67">
        <f t="shared" si="50"/>
        <v>117</v>
      </c>
      <c r="AH107" s="67">
        <f t="shared" si="50"/>
        <v>117</v>
      </c>
      <c r="AI107" s="67">
        <f t="shared" si="50"/>
        <v>117</v>
      </c>
      <c r="AJ107" s="67">
        <f t="shared" si="51"/>
        <v>113</v>
      </c>
      <c r="AK107" s="67">
        <f t="shared" si="52"/>
        <v>0</v>
      </c>
    </row>
    <row r="108" spans="1:38" x14ac:dyDescent="0.3">
      <c r="A108" s="50"/>
      <c r="B108" s="50"/>
      <c r="C108" s="50"/>
      <c r="D108" s="50"/>
      <c r="E108" s="50"/>
      <c r="F108" s="50"/>
      <c r="G108" s="50" t="s">
        <v>149</v>
      </c>
      <c r="H108" s="51">
        <v>287.19</v>
      </c>
      <c r="I108" s="51">
        <v>277.58999999999997</v>
      </c>
      <c r="J108" s="51">
        <v>296</v>
      </c>
      <c r="K108" s="51">
        <v>391.54</v>
      </c>
      <c r="L108" s="51">
        <v>266.11</v>
      </c>
      <c r="M108" s="51">
        <v>294.98</v>
      </c>
      <c r="N108" s="51">
        <v>436.26</v>
      </c>
      <c r="O108" s="51">
        <v>30.18</v>
      </c>
      <c r="P108" s="51">
        <v>26.68</v>
      </c>
      <c r="Q108" s="51">
        <v>428.65</v>
      </c>
      <c r="R108" s="51">
        <v>287.55</v>
      </c>
      <c r="S108" s="51">
        <v>270.11</v>
      </c>
      <c r="T108" s="51"/>
      <c r="U108" s="51">
        <f t="shared" si="49"/>
        <v>3292.84</v>
      </c>
      <c r="V108" s="67">
        <v>4100</v>
      </c>
      <c r="W108" s="67">
        <v>4100</v>
      </c>
      <c r="Y108" s="67">
        <f t="shared" si="50"/>
        <v>342</v>
      </c>
      <c r="Z108" s="67">
        <f t="shared" si="50"/>
        <v>342</v>
      </c>
      <c r="AA108" s="67">
        <f t="shared" si="50"/>
        <v>342</v>
      </c>
      <c r="AB108" s="67">
        <f t="shared" si="50"/>
        <v>342</v>
      </c>
      <c r="AC108" s="67">
        <f t="shared" si="50"/>
        <v>342</v>
      </c>
      <c r="AD108" s="67">
        <f t="shared" si="50"/>
        <v>342</v>
      </c>
      <c r="AE108" s="67">
        <f t="shared" si="50"/>
        <v>342</v>
      </c>
      <c r="AF108" s="67">
        <f t="shared" si="50"/>
        <v>342</v>
      </c>
      <c r="AG108" s="67">
        <f t="shared" si="50"/>
        <v>342</v>
      </c>
      <c r="AH108" s="67">
        <f t="shared" si="50"/>
        <v>342</v>
      </c>
      <c r="AI108" s="67">
        <f t="shared" si="50"/>
        <v>342</v>
      </c>
      <c r="AJ108" s="67">
        <f t="shared" si="51"/>
        <v>338</v>
      </c>
      <c r="AK108" s="67">
        <f t="shared" si="52"/>
        <v>0</v>
      </c>
    </row>
    <row r="109" spans="1:38" x14ac:dyDescent="0.3">
      <c r="A109" s="50"/>
      <c r="B109" s="50"/>
      <c r="C109" s="50"/>
      <c r="D109" s="50"/>
      <c r="E109" s="50"/>
      <c r="F109" s="50"/>
      <c r="G109" s="50" t="s">
        <v>150</v>
      </c>
      <c r="H109" s="51">
        <v>0</v>
      </c>
      <c r="I109" s="51">
        <v>0</v>
      </c>
      <c r="J109" s="51">
        <v>0</v>
      </c>
      <c r="K109" s="51">
        <v>9900</v>
      </c>
      <c r="L109" s="51">
        <v>0</v>
      </c>
      <c r="M109" s="51">
        <v>0</v>
      </c>
      <c r="N109" s="51">
        <v>1100</v>
      </c>
      <c r="O109" s="51">
        <v>0</v>
      </c>
      <c r="P109" s="51">
        <v>0</v>
      </c>
      <c r="Q109" s="51">
        <v>0</v>
      </c>
      <c r="R109" s="51">
        <v>0</v>
      </c>
      <c r="S109" s="51">
        <v>0</v>
      </c>
      <c r="T109" s="51"/>
      <c r="U109" s="51">
        <f t="shared" si="49"/>
        <v>11000</v>
      </c>
      <c r="V109" s="67">
        <v>11000</v>
      </c>
      <c r="W109" s="67">
        <v>10500</v>
      </c>
      <c r="Y109" s="118">
        <v>5000</v>
      </c>
      <c r="Z109" s="118">
        <v>5500</v>
      </c>
      <c r="AA109" s="118">
        <v>0</v>
      </c>
      <c r="AB109" s="118">
        <v>0</v>
      </c>
      <c r="AC109" s="118">
        <v>0</v>
      </c>
      <c r="AD109" s="118">
        <v>0</v>
      </c>
      <c r="AE109" s="118">
        <v>0</v>
      </c>
      <c r="AF109" s="118">
        <v>0</v>
      </c>
      <c r="AG109" s="118">
        <v>0</v>
      </c>
      <c r="AH109" s="118">
        <v>0</v>
      </c>
      <c r="AI109" s="118">
        <v>0</v>
      </c>
      <c r="AJ109" s="118">
        <f t="shared" si="51"/>
        <v>0</v>
      </c>
      <c r="AK109" s="118">
        <f t="shared" si="52"/>
        <v>0</v>
      </c>
      <c r="AL109" s="120"/>
    </row>
    <row r="110" spans="1:38" x14ac:dyDescent="0.3">
      <c r="A110" s="50"/>
      <c r="B110" s="50"/>
      <c r="C110" s="50"/>
      <c r="D110" s="50"/>
      <c r="E110" s="50"/>
      <c r="F110" s="50"/>
      <c r="G110" s="50" t="s">
        <v>151</v>
      </c>
      <c r="H110" s="51">
        <v>770</v>
      </c>
      <c r="I110" s="51">
        <v>1017.5</v>
      </c>
      <c r="J110" s="51">
        <v>1540</v>
      </c>
      <c r="K110" s="51">
        <v>0</v>
      </c>
      <c r="L110" s="51">
        <v>1045</v>
      </c>
      <c r="M110" s="51">
        <v>247.5</v>
      </c>
      <c r="N110" s="51">
        <v>805</v>
      </c>
      <c r="O110" s="51">
        <v>488.75</v>
      </c>
      <c r="P110" s="51">
        <v>690</v>
      </c>
      <c r="Q110" s="51">
        <v>718.75</v>
      </c>
      <c r="R110" s="51">
        <v>575</v>
      </c>
      <c r="S110" s="51">
        <f>115*8</f>
        <v>920</v>
      </c>
      <c r="T110" s="51"/>
      <c r="U110" s="51">
        <f t="shared" si="49"/>
        <v>8817.5</v>
      </c>
      <c r="V110" s="67">
        <v>9500</v>
      </c>
      <c r="W110" s="67">
        <v>9500</v>
      </c>
      <c r="Y110" s="67">
        <f t="shared" si="50"/>
        <v>792</v>
      </c>
      <c r="Z110" s="67">
        <f t="shared" si="50"/>
        <v>792</v>
      </c>
      <c r="AA110" s="67">
        <f t="shared" si="50"/>
        <v>792</v>
      </c>
      <c r="AB110" s="67">
        <f t="shared" si="50"/>
        <v>792</v>
      </c>
      <c r="AC110" s="67">
        <f t="shared" si="50"/>
        <v>792</v>
      </c>
      <c r="AD110" s="67">
        <f t="shared" si="50"/>
        <v>792</v>
      </c>
      <c r="AE110" s="67">
        <f t="shared" si="50"/>
        <v>792</v>
      </c>
      <c r="AF110" s="67">
        <f t="shared" si="50"/>
        <v>792</v>
      </c>
      <c r="AG110" s="67">
        <f t="shared" si="50"/>
        <v>792</v>
      </c>
      <c r="AH110" s="67">
        <f t="shared" si="50"/>
        <v>792</v>
      </c>
      <c r="AI110" s="67">
        <f t="shared" si="50"/>
        <v>792</v>
      </c>
      <c r="AJ110" s="67">
        <f t="shared" si="51"/>
        <v>788</v>
      </c>
      <c r="AK110" s="67">
        <f t="shared" si="52"/>
        <v>0</v>
      </c>
    </row>
    <row r="111" spans="1:38" x14ac:dyDescent="0.3">
      <c r="A111" s="50"/>
      <c r="B111" s="50"/>
      <c r="C111" s="50"/>
      <c r="D111" s="50"/>
      <c r="E111" s="50"/>
      <c r="F111" s="50"/>
      <c r="G111" s="50" t="s">
        <v>200</v>
      </c>
      <c r="H111" s="51">
        <v>0</v>
      </c>
      <c r="I111" s="51">
        <v>0</v>
      </c>
      <c r="J111" s="51">
        <v>0</v>
      </c>
      <c r="K111" s="51">
        <v>0</v>
      </c>
      <c r="L111" s="51">
        <v>0</v>
      </c>
      <c r="M111" s="51">
        <v>0</v>
      </c>
      <c r="N111" s="51">
        <v>0</v>
      </c>
      <c r="O111" s="51">
        <v>0</v>
      </c>
      <c r="P111" s="51">
        <v>0</v>
      </c>
      <c r="Q111" s="51">
        <v>0</v>
      </c>
      <c r="R111" s="51">
        <v>0</v>
      </c>
      <c r="S111" s="51">
        <v>0</v>
      </c>
      <c r="T111" s="51"/>
      <c r="U111" s="51">
        <v>0</v>
      </c>
      <c r="V111" s="67">
        <v>9000</v>
      </c>
      <c r="W111" s="67">
        <v>9000</v>
      </c>
      <c r="Y111" s="67">
        <f t="shared" si="50"/>
        <v>750</v>
      </c>
      <c r="Z111" s="67">
        <f t="shared" si="50"/>
        <v>750</v>
      </c>
      <c r="AA111" s="67">
        <f t="shared" si="50"/>
        <v>750</v>
      </c>
      <c r="AB111" s="67">
        <f t="shared" si="50"/>
        <v>750</v>
      </c>
      <c r="AC111" s="67">
        <f t="shared" si="50"/>
        <v>750</v>
      </c>
      <c r="AD111" s="67">
        <f t="shared" si="50"/>
        <v>750</v>
      </c>
      <c r="AE111" s="67">
        <f t="shared" si="50"/>
        <v>750</v>
      </c>
      <c r="AF111" s="67">
        <f t="shared" si="50"/>
        <v>750</v>
      </c>
      <c r="AG111" s="67">
        <f t="shared" si="50"/>
        <v>750</v>
      </c>
      <c r="AH111" s="67">
        <f t="shared" si="50"/>
        <v>750</v>
      </c>
      <c r="AI111" s="67">
        <f t="shared" si="50"/>
        <v>750</v>
      </c>
      <c r="AJ111" s="67">
        <f t="shared" si="51"/>
        <v>750</v>
      </c>
      <c r="AK111" s="67">
        <f t="shared" si="52"/>
        <v>0</v>
      </c>
    </row>
    <row r="112" spans="1:38" x14ac:dyDescent="0.3">
      <c r="A112" s="50"/>
      <c r="B112" s="50"/>
      <c r="C112" s="50"/>
      <c r="D112" s="50"/>
      <c r="E112" s="50"/>
      <c r="F112" s="50"/>
      <c r="G112" s="50" t="s">
        <v>233</v>
      </c>
      <c r="H112" s="51">
        <v>0</v>
      </c>
      <c r="I112" s="51">
        <v>0</v>
      </c>
      <c r="J112" s="51">
        <v>0</v>
      </c>
      <c r="K112" s="51">
        <v>0</v>
      </c>
      <c r="L112" s="51">
        <v>375</v>
      </c>
      <c r="M112" s="51">
        <v>0</v>
      </c>
      <c r="N112" s="51">
        <v>0</v>
      </c>
      <c r="O112" s="51">
        <v>0</v>
      </c>
      <c r="P112" s="51">
        <v>0</v>
      </c>
      <c r="Q112" s="51">
        <v>0</v>
      </c>
      <c r="R112" s="51">
        <v>0</v>
      </c>
      <c r="S112" s="51">
        <v>0</v>
      </c>
      <c r="T112" s="51"/>
      <c r="U112" s="51">
        <f t="shared" si="49"/>
        <v>375</v>
      </c>
      <c r="V112" s="67">
        <v>400</v>
      </c>
      <c r="W112" s="67">
        <v>400</v>
      </c>
      <c r="Y112" s="67">
        <f t="shared" si="50"/>
        <v>33</v>
      </c>
      <c r="Z112" s="67">
        <f t="shared" si="50"/>
        <v>33</v>
      </c>
      <c r="AA112" s="67">
        <f t="shared" si="50"/>
        <v>33</v>
      </c>
      <c r="AB112" s="67">
        <f t="shared" si="50"/>
        <v>33</v>
      </c>
      <c r="AC112" s="67">
        <f t="shared" si="50"/>
        <v>33</v>
      </c>
      <c r="AD112" s="67">
        <f t="shared" si="50"/>
        <v>33</v>
      </c>
      <c r="AE112" s="67">
        <f t="shared" si="50"/>
        <v>33</v>
      </c>
      <c r="AF112" s="67">
        <f t="shared" si="50"/>
        <v>33</v>
      </c>
      <c r="AG112" s="67">
        <f t="shared" si="50"/>
        <v>33</v>
      </c>
      <c r="AH112" s="67">
        <f t="shared" si="50"/>
        <v>33</v>
      </c>
      <c r="AI112" s="67">
        <f t="shared" si="50"/>
        <v>33</v>
      </c>
      <c r="AJ112" s="67">
        <f t="shared" si="51"/>
        <v>37</v>
      </c>
      <c r="AK112" s="67">
        <f t="shared" si="52"/>
        <v>0</v>
      </c>
    </row>
    <row r="113" spans="1:37" x14ac:dyDescent="0.3">
      <c r="A113" s="50"/>
      <c r="B113" s="50"/>
      <c r="C113" s="50"/>
      <c r="D113" s="50"/>
      <c r="E113" s="50"/>
      <c r="F113" s="50"/>
      <c r="G113" s="50" t="s">
        <v>152</v>
      </c>
      <c r="H113" s="51">
        <v>435</v>
      </c>
      <c r="I113" s="51">
        <v>0</v>
      </c>
      <c r="J113" s="51">
        <v>1275</v>
      </c>
      <c r="K113" s="51">
        <v>315</v>
      </c>
      <c r="L113" s="51">
        <v>420</v>
      </c>
      <c r="M113" s="51">
        <v>300</v>
      </c>
      <c r="N113" s="51">
        <v>360</v>
      </c>
      <c r="O113" s="51">
        <v>435</v>
      </c>
      <c r="P113" s="51">
        <v>0</v>
      </c>
      <c r="Q113" s="51">
        <v>525</v>
      </c>
      <c r="R113" s="51">
        <v>0</v>
      </c>
      <c r="S113" s="51">
        <v>1350</v>
      </c>
      <c r="T113" s="51"/>
      <c r="U113" s="51">
        <f t="shared" si="49"/>
        <v>5415</v>
      </c>
      <c r="V113" s="67">
        <v>30000</v>
      </c>
      <c r="W113" s="67">
        <v>30000</v>
      </c>
      <c r="Y113" s="67">
        <f t="shared" si="50"/>
        <v>2500</v>
      </c>
      <c r="Z113" s="67">
        <f t="shared" si="50"/>
        <v>2500</v>
      </c>
      <c r="AA113" s="67">
        <f t="shared" si="50"/>
        <v>2500</v>
      </c>
      <c r="AB113" s="67">
        <f t="shared" si="50"/>
        <v>2500</v>
      </c>
      <c r="AC113" s="67">
        <f t="shared" si="50"/>
        <v>2500</v>
      </c>
      <c r="AD113" s="67">
        <f t="shared" si="50"/>
        <v>2500</v>
      </c>
      <c r="AE113" s="67">
        <f t="shared" si="50"/>
        <v>2500</v>
      </c>
      <c r="AF113" s="67">
        <f t="shared" si="50"/>
        <v>2500</v>
      </c>
      <c r="AG113" s="67">
        <f t="shared" si="50"/>
        <v>2500</v>
      </c>
      <c r="AH113" s="67">
        <f t="shared" si="50"/>
        <v>2500</v>
      </c>
      <c r="AI113" s="67">
        <f t="shared" si="50"/>
        <v>2500</v>
      </c>
      <c r="AJ113" s="67">
        <f t="shared" si="51"/>
        <v>2500</v>
      </c>
      <c r="AK113" s="67">
        <f t="shared" si="52"/>
        <v>0</v>
      </c>
    </row>
    <row r="114" spans="1:37" x14ac:dyDescent="0.3">
      <c r="A114" s="50"/>
      <c r="B114" s="50"/>
      <c r="C114" s="50"/>
      <c r="D114" s="50"/>
      <c r="E114" s="50"/>
      <c r="F114" s="50"/>
      <c r="G114" s="50" t="s">
        <v>153</v>
      </c>
      <c r="H114" s="51">
        <v>445.33</v>
      </c>
      <c r="I114" s="51">
        <v>445.33</v>
      </c>
      <c r="J114" s="51">
        <v>445.33</v>
      </c>
      <c r="K114" s="51">
        <v>365.4</v>
      </c>
      <c r="L114" s="51">
        <v>365.4</v>
      </c>
      <c r="M114" s="51">
        <v>365.4</v>
      </c>
      <c r="N114" s="51">
        <v>365.4</v>
      </c>
      <c r="O114" s="51">
        <v>445.33</v>
      </c>
      <c r="P114" s="51">
        <v>445.33</v>
      </c>
      <c r="Q114" s="51">
        <v>445.33</v>
      </c>
      <c r="R114" s="51">
        <v>445.33</v>
      </c>
      <c r="S114" s="51">
        <v>445.33</v>
      </c>
      <c r="T114" s="51"/>
      <c r="U114" s="51">
        <f t="shared" si="49"/>
        <v>5024.24</v>
      </c>
      <c r="V114" s="67">
        <v>5400</v>
      </c>
      <c r="W114" s="115">
        <v>5400</v>
      </c>
      <c r="Y114" s="115">
        <f t="shared" si="50"/>
        <v>450</v>
      </c>
      <c r="Z114" s="115">
        <f t="shared" si="50"/>
        <v>450</v>
      </c>
      <c r="AA114" s="115">
        <f t="shared" si="50"/>
        <v>450</v>
      </c>
      <c r="AB114" s="115">
        <f t="shared" si="50"/>
        <v>450</v>
      </c>
      <c r="AC114" s="115">
        <f t="shared" si="50"/>
        <v>450</v>
      </c>
      <c r="AD114" s="115">
        <f t="shared" si="50"/>
        <v>450</v>
      </c>
      <c r="AE114" s="115">
        <f t="shared" si="50"/>
        <v>450</v>
      </c>
      <c r="AF114" s="115">
        <f t="shared" si="50"/>
        <v>450</v>
      </c>
      <c r="AG114" s="115">
        <f t="shared" si="50"/>
        <v>450</v>
      </c>
      <c r="AH114" s="115">
        <f t="shared" si="50"/>
        <v>450</v>
      </c>
      <c r="AI114" s="115">
        <f t="shared" si="50"/>
        <v>450</v>
      </c>
      <c r="AJ114" s="115">
        <f t="shared" si="51"/>
        <v>450</v>
      </c>
      <c r="AK114" s="115">
        <f t="shared" si="52"/>
        <v>0</v>
      </c>
    </row>
    <row r="115" spans="1:37" x14ac:dyDescent="0.3">
      <c r="A115" s="50"/>
      <c r="B115" s="50"/>
      <c r="C115" s="50"/>
      <c r="D115" s="50"/>
      <c r="E115" s="50"/>
      <c r="F115" s="50"/>
      <c r="G115" s="50" t="s">
        <v>154</v>
      </c>
      <c r="H115" s="51">
        <v>0</v>
      </c>
      <c r="I115" s="51">
        <v>0</v>
      </c>
      <c r="J115" s="51">
        <v>0</v>
      </c>
      <c r="K115" s="51">
        <v>0</v>
      </c>
      <c r="L115" s="51">
        <v>0</v>
      </c>
      <c r="M115" s="51">
        <v>266</v>
      </c>
      <c r="N115" s="51">
        <v>0</v>
      </c>
      <c r="O115" s="51">
        <v>0</v>
      </c>
      <c r="P115" s="51">
        <v>28</v>
      </c>
      <c r="Q115" s="51">
        <v>0</v>
      </c>
      <c r="R115" s="51">
        <v>0</v>
      </c>
      <c r="S115" s="51">
        <v>0</v>
      </c>
      <c r="T115" s="51"/>
      <c r="U115" s="51">
        <f t="shared" si="49"/>
        <v>294</v>
      </c>
      <c r="V115" s="67">
        <v>1800</v>
      </c>
      <c r="W115" s="67">
        <v>1800</v>
      </c>
      <c r="Y115" s="67">
        <f t="shared" si="50"/>
        <v>150</v>
      </c>
      <c r="Z115" s="67">
        <f t="shared" si="50"/>
        <v>150</v>
      </c>
      <c r="AA115" s="67">
        <f t="shared" si="50"/>
        <v>150</v>
      </c>
      <c r="AB115" s="67">
        <f t="shared" si="50"/>
        <v>150</v>
      </c>
      <c r="AC115" s="67">
        <f t="shared" si="50"/>
        <v>150</v>
      </c>
      <c r="AD115" s="67">
        <f t="shared" si="50"/>
        <v>150</v>
      </c>
      <c r="AE115" s="67">
        <f t="shared" si="50"/>
        <v>150</v>
      </c>
      <c r="AF115" s="67">
        <f t="shared" si="50"/>
        <v>150</v>
      </c>
      <c r="AG115" s="67">
        <f t="shared" si="50"/>
        <v>150</v>
      </c>
      <c r="AH115" s="67">
        <f t="shared" si="50"/>
        <v>150</v>
      </c>
      <c r="AI115" s="67">
        <f t="shared" si="50"/>
        <v>150</v>
      </c>
      <c r="AJ115" s="67">
        <f t="shared" si="51"/>
        <v>150</v>
      </c>
      <c r="AK115" s="67">
        <f t="shared" si="52"/>
        <v>0</v>
      </c>
    </row>
    <row r="116" spans="1:37" x14ac:dyDescent="0.3">
      <c r="A116" s="50"/>
      <c r="B116" s="50"/>
      <c r="C116" s="50"/>
      <c r="D116" s="50"/>
      <c r="E116" s="50"/>
      <c r="F116" s="50"/>
      <c r="G116" s="50" t="s">
        <v>238</v>
      </c>
      <c r="H116" s="51">
        <v>0</v>
      </c>
      <c r="I116" s="51">
        <v>0</v>
      </c>
      <c r="J116" s="51">
        <v>0</v>
      </c>
      <c r="K116" s="51">
        <v>0</v>
      </c>
      <c r="L116" s="51">
        <v>0</v>
      </c>
      <c r="M116" s="51">
        <v>0</v>
      </c>
      <c r="N116" s="51">
        <v>0</v>
      </c>
      <c r="O116" s="51">
        <v>0</v>
      </c>
      <c r="P116" s="51">
        <v>0</v>
      </c>
      <c r="Q116" s="51">
        <v>0</v>
      </c>
      <c r="R116" s="51">
        <v>0</v>
      </c>
      <c r="S116" s="51">
        <v>0</v>
      </c>
      <c r="T116" s="51"/>
      <c r="U116" s="51">
        <v>0</v>
      </c>
      <c r="V116" s="67">
        <v>300</v>
      </c>
      <c r="W116" s="67">
        <v>300</v>
      </c>
      <c r="Y116" s="67">
        <f t="shared" si="50"/>
        <v>25</v>
      </c>
      <c r="Z116" s="67">
        <f t="shared" si="50"/>
        <v>25</v>
      </c>
      <c r="AA116" s="67">
        <f t="shared" ref="Y116:AI123" si="53">ROUND($W116/12,0)</f>
        <v>25</v>
      </c>
      <c r="AB116" s="67">
        <f t="shared" si="53"/>
        <v>25</v>
      </c>
      <c r="AC116" s="67">
        <f t="shared" si="53"/>
        <v>25</v>
      </c>
      <c r="AD116" s="67">
        <f t="shared" si="53"/>
        <v>25</v>
      </c>
      <c r="AE116" s="67">
        <f t="shared" si="53"/>
        <v>25</v>
      </c>
      <c r="AF116" s="67">
        <f t="shared" si="53"/>
        <v>25</v>
      </c>
      <c r="AG116" s="67">
        <f t="shared" si="53"/>
        <v>25</v>
      </c>
      <c r="AH116" s="67">
        <f t="shared" si="53"/>
        <v>25</v>
      </c>
      <c r="AI116" s="67">
        <f t="shared" si="53"/>
        <v>25</v>
      </c>
      <c r="AJ116" s="67">
        <f t="shared" si="51"/>
        <v>25</v>
      </c>
      <c r="AK116" s="67">
        <f t="shared" si="52"/>
        <v>0</v>
      </c>
    </row>
    <row r="117" spans="1:37" x14ac:dyDescent="0.3">
      <c r="A117" s="50"/>
      <c r="B117" s="50"/>
      <c r="C117" s="50"/>
      <c r="D117" s="50"/>
      <c r="E117" s="50"/>
      <c r="F117" s="50"/>
      <c r="G117" s="50" t="s">
        <v>155</v>
      </c>
      <c r="H117" s="51">
        <v>0</v>
      </c>
      <c r="I117" s="51">
        <v>365</v>
      </c>
      <c r="J117" s="51">
        <v>0</v>
      </c>
      <c r="K117" s="51">
        <v>0</v>
      </c>
      <c r="L117" s="51">
        <v>0</v>
      </c>
      <c r="M117" s="51">
        <v>0</v>
      </c>
      <c r="N117" s="51">
        <v>219</v>
      </c>
      <c r="O117" s="51">
        <v>0</v>
      </c>
      <c r="P117" s="51">
        <v>0</v>
      </c>
      <c r="Q117" s="51">
        <v>0</v>
      </c>
      <c r="R117" s="51">
        <v>0</v>
      </c>
      <c r="S117" s="51">
        <v>0</v>
      </c>
      <c r="T117" s="51"/>
      <c r="U117" s="51">
        <f t="shared" si="49"/>
        <v>584</v>
      </c>
      <c r="V117" s="67">
        <v>2500</v>
      </c>
      <c r="W117" s="67">
        <v>2500</v>
      </c>
      <c r="Y117" s="67">
        <f t="shared" si="53"/>
        <v>208</v>
      </c>
      <c r="Z117" s="67">
        <f t="shared" si="53"/>
        <v>208</v>
      </c>
      <c r="AA117" s="67">
        <f t="shared" si="53"/>
        <v>208</v>
      </c>
      <c r="AB117" s="67">
        <f t="shared" si="53"/>
        <v>208</v>
      </c>
      <c r="AC117" s="67">
        <f t="shared" si="53"/>
        <v>208</v>
      </c>
      <c r="AD117" s="67">
        <f t="shared" si="53"/>
        <v>208</v>
      </c>
      <c r="AE117" s="67">
        <f t="shared" si="53"/>
        <v>208</v>
      </c>
      <c r="AF117" s="67">
        <f t="shared" si="53"/>
        <v>208</v>
      </c>
      <c r="AG117" s="67">
        <f t="shared" si="53"/>
        <v>208</v>
      </c>
      <c r="AH117" s="67">
        <f t="shared" si="53"/>
        <v>208</v>
      </c>
      <c r="AI117" s="67">
        <f t="shared" si="53"/>
        <v>208</v>
      </c>
      <c r="AJ117" s="67">
        <f t="shared" si="51"/>
        <v>212</v>
      </c>
      <c r="AK117" s="67">
        <f t="shared" si="52"/>
        <v>0</v>
      </c>
    </row>
    <row r="118" spans="1:37" x14ac:dyDescent="0.3">
      <c r="A118" s="50"/>
      <c r="B118" s="50"/>
      <c r="C118" s="50"/>
      <c r="D118" s="50"/>
      <c r="E118" s="50"/>
      <c r="F118" s="50"/>
      <c r="G118" s="50" t="s">
        <v>156</v>
      </c>
      <c r="H118" s="51">
        <v>13.59</v>
      </c>
      <c r="I118" s="51">
        <v>1982.42</v>
      </c>
      <c r="J118" s="51">
        <v>1019.56</v>
      </c>
      <c r="K118" s="51">
        <v>0</v>
      </c>
      <c r="L118" s="51">
        <v>0</v>
      </c>
      <c r="M118" s="51">
        <v>0</v>
      </c>
      <c r="N118" s="51">
        <v>700</v>
      </c>
      <c r="O118" s="51">
        <v>0</v>
      </c>
      <c r="P118" s="51">
        <v>0</v>
      </c>
      <c r="Q118" s="51">
        <v>0</v>
      </c>
      <c r="R118" s="51">
        <v>0</v>
      </c>
      <c r="S118" s="51">
        <v>15</v>
      </c>
      <c r="T118" s="51"/>
      <c r="U118" s="51">
        <f t="shared" si="49"/>
        <v>3730.57</v>
      </c>
      <c r="V118" s="67">
        <v>30000</v>
      </c>
      <c r="W118" s="67">
        <v>30000</v>
      </c>
      <c r="Y118" s="67">
        <f t="shared" si="53"/>
        <v>2500</v>
      </c>
      <c r="Z118" s="67">
        <f t="shared" si="53"/>
        <v>2500</v>
      </c>
      <c r="AA118" s="67">
        <f t="shared" si="53"/>
        <v>2500</v>
      </c>
      <c r="AB118" s="67">
        <f t="shared" si="53"/>
        <v>2500</v>
      </c>
      <c r="AC118" s="67">
        <f t="shared" si="53"/>
        <v>2500</v>
      </c>
      <c r="AD118" s="67">
        <f t="shared" si="53"/>
        <v>2500</v>
      </c>
      <c r="AE118" s="67">
        <f t="shared" si="53"/>
        <v>2500</v>
      </c>
      <c r="AF118" s="67">
        <f t="shared" si="53"/>
        <v>2500</v>
      </c>
      <c r="AG118" s="67">
        <f t="shared" si="53"/>
        <v>2500</v>
      </c>
      <c r="AH118" s="67">
        <f t="shared" si="53"/>
        <v>2500</v>
      </c>
      <c r="AI118" s="67">
        <f t="shared" si="53"/>
        <v>2500</v>
      </c>
      <c r="AJ118" s="67">
        <f t="shared" si="51"/>
        <v>2500</v>
      </c>
      <c r="AK118" s="67">
        <f t="shared" si="52"/>
        <v>0</v>
      </c>
    </row>
    <row r="119" spans="1:37" x14ac:dyDescent="0.3">
      <c r="A119" s="50"/>
      <c r="B119" s="50"/>
      <c r="C119" s="50"/>
      <c r="D119" s="50"/>
      <c r="E119" s="50"/>
      <c r="F119" s="50"/>
      <c r="G119" s="50" t="s">
        <v>157</v>
      </c>
      <c r="H119" s="51">
        <v>321.43</v>
      </c>
      <c r="I119" s="51">
        <v>48.7</v>
      </c>
      <c r="J119" s="51">
        <v>56.42</v>
      </c>
      <c r="K119" s="51">
        <v>42.97</v>
      </c>
      <c r="L119" s="51">
        <v>0</v>
      </c>
      <c r="M119" s="51">
        <v>141.88</v>
      </c>
      <c r="N119" s="51">
        <v>101.79</v>
      </c>
      <c r="O119" s="51">
        <v>0</v>
      </c>
      <c r="P119" s="51">
        <v>317.31</v>
      </c>
      <c r="Q119" s="51">
        <v>153.86000000000001</v>
      </c>
      <c r="R119" s="51">
        <v>0</v>
      </c>
      <c r="S119" s="51">
        <v>150</v>
      </c>
      <c r="T119" s="51"/>
      <c r="U119" s="51">
        <f t="shared" si="49"/>
        <v>1334.36</v>
      </c>
      <c r="V119" s="67">
        <v>2000</v>
      </c>
      <c r="W119" s="67">
        <v>2000</v>
      </c>
      <c r="Y119" s="67">
        <f t="shared" si="53"/>
        <v>167</v>
      </c>
      <c r="Z119" s="67">
        <f t="shared" si="53"/>
        <v>167</v>
      </c>
      <c r="AA119" s="67">
        <f t="shared" si="53"/>
        <v>167</v>
      </c>
      <c r="AB119" s="67">
        <f t="shared" si="53"/>
        <v>167</v>
      </c>
      <c r="AC119" s="67">
        <f t="shared" si="53"/>
        <v>167</v>
      </c>
      <c r="AD119" s="67">
        <f t="shared" si="53"/>
        <v>167</v>
      </c>
      <c r="AE119" s="67">
        <f t="shared" si="53"/>
        <v>167</v>
      </c>
      <c r="AF119" s="67">
        <f t="shared" si="53"/>
        <v>167</v>
      </c>
      <c r="AG119" s="67">
        <f t="shared" si="53"/>
        <v>167</v>
      </c>
      <c r="AH119" s="67">
        <f t="shared" si="53"/>
        <v>167</v>
      </c>
      <c r="AI119" s="67">
        <f t="shared" si="53"/>
        <v>167</v>
      </c>
      <c r="AJ119" s="67">
        <f t="shared" si="51"/>
        <v>163</v>
      </c>
      <c r="AK119" s="67">
        <f t="shared" si="52"/>
        <v>0</v>
      </c>
    </row>
    <row r="120" spans="1:37" x14ac:dyDescent="0.3">
      <c r="A120" s="50"/>
      <c r="B120" s="50"/>
      <c r="C120" s="50"/>
      <c r="D120" s="50"/>
      <c r="E120" s="50"/>
      <c r="F120" s="50"/>
      <c r="G120" s="50" t="s">
        <v>158</v>
      </c>
      <c r="H120" s="51">
        <v>0</v>
      </c>
      <c r="I120" s="51">
        <v>0</v>
      </c>
      <c r="J120" s="51">
        <v>0</v>
      </c>
      <c r="K120" s="51">
        <v>800</v>
      </c>
      <c r="L120" s="51">
        <v>0</v>
      </c>
      <c r="M120" s="51">
        <v>2292.25</v>
      </c>
      <c r="N120" s="51">
        <v>0</v>
      </c>
      <c r="O120" s="51">
        <v>0</v>
      </c>
      <c r="P120" s="51">
        <v>0</v>
      </c>
      <c r="Q120" s="51">
        <v>0</v>
      </c>
      <c r="R120" s="51">
        <v>0</v>
      </c>
      <c r="S120" s="51">
        <v>0</v>
      </c>
      <c r="T120" s="51"/>
      <c r="U120" s="51">
        <f t="shared" si="49"/>
        <v>3092.25</v>
      </c>
      <c r="V120" s="67">
        <v>5000</v>
      </c>
      <c r="W120" s="67">
        <v>5000</v>
      </c>
      <c r="Y120" s="67">
        <f t="shared" si="53"/>
        <v>417</v>
      </c>
      <c r="Z120" s="67">
        <f t="shared" si="53"/>
        <v>417</v>
      </c>
      <c r="AA120" s="67">
        <f t="shared" si="53"/>
        <v>417</v>
      </c>
      <c r="AB120" s="67">
        <f t="shared" si="53"/>
        <v>417</v>
      </c>
      <c r="AC120" s="67">
        <f t="shared" si="53"/>
        <v>417</v>
      </c>
      <c r="AD120" s="67">
        <f t="shared" si="53"/>
        <v>417</v>
      </c>
      <c r="AE120" s="67">
        <f t="shared" si="53"/>
        <v>417</v>
      </c>
      <c r="AF120" s="67">
        <f t="shared" si="53"/>
        <v>417</v>
      </c>
      <c r="AG120" s="67">
        <f t="shared" si="53"/>
        <v>417</v>
      </c>
      <c r="AH120" s="67">
        <f t="shared" si="53"/>
        <v>417</v>
      </c>
      <c r="AI120" s="67">
        <f t="shared" si="53"/>
        <v>417</v>
      </c>
      <c r="AJ120" s="67">
        <f t="shared" si="51"/>
        <v>413</v>
      </c>
      <c r="AK120" s="67">
        <f t="shared" si="52"/>
        <v>0</v>
      </c>
    </row>
    <row r="121" spans="1:37" x14ac:dyDescent="0.3">
      <c r="A121" s="50"/>
      <c r="B121" s="50"/>
      <c r="C121" s="50"/>
      <c r="D121" s="50"/>
      <c r="E121" s="50"/>
      <c r="F121" s="50"/>
      <c r="G121" s="50" t="s">
        <v>159</v>
      </c>
      <c r="H121" s="51">
        <v>0</v>
      </c>
      <c r="I121" s="51">
        <v>0.45</v>
      </c>
      <c r="J121" s="51">
        <v>0</v>
      </c>
      <c r="K121" s="51">
        <v>0</v>
      </c>
      <c r="L121" s="51">
        <v>0</v>
      </c>
      <c r="M121" s="51">
        <v>0</v>
      </c>
      <c r="N121" s="51">
        <v>0</v>
      </c>
      <c r="O121" s="51">
        <v>0</v>
      </c>
      <c r="P121" s="51">
        <v>0</v>
      </c>
      <c r="Q121" s="51">
        <v>0</v>
      </c>
      <c r="R121" s="51">
        <v>0</v>
      </c>
      <c r="S121" s="51">
        <v>0</v>
      </c>
      <c r="T121" s="51"/>
      <c r="U121" s="51">
        <f t="shared" si="49"/>
        <v>0.45</v>
      </c>
      <c r="V121" s="67">
        <v>2500</v>
      </c>
      <c r="W121" s="67">
        <v>2500</v>
      </c>
      <c r="X121" s="68" t="s">
        <v>313</v>
      </c>
      <c r="Y121" s="67">
        <f t="shared" si="53"/>
        <v>208</v>
      </c>
      <c r="Z121" s="67">
        <f t="shared" si="53"/>
        <v>208</v>
      </c>
      <c r="AA121" s="67">
        <f t="shared" si="53"/>
        <v>208</v>
      </c>
      <c r="AB121" s="67">
        <f t="shared" si="53"/>
        <v>208</v>
      </c>
      <c r="AC121" s="67">
        <f t="shared" si="53"/>
        <v>208</v>
      </c>
      <c r="AD121" s="67">
        <f t="shared" si="53"/>
        <v>208</v>
      </c>
      <c r="AE121" s="67">
        <f t="shared" si="53"/>
        <v>208</v>
      </c>
      <c r="AF121" s="67">
        <f t="shared" si="53"/>
        <v>208</v>
      </c>
      <c r="AG121" s="67">
        <f t="shared" si="53"/>
        <v>208</v>
      </c>
      <c r="AH121" s="67">
        <f t="shared" si="53"/>
        <v>208</v>
      </c>
      <c r="AI121" s="67">
        <f t="shared" si="53"/>
        <v>208</v>
      </c>
      <c r="AJ121" s="67">
        <f t="shared" si="51"/>
        <v>212</v>
      </c>
      <c r="AK121" s="67">
        <f t="shared" si="52"/>
        <v>0</v>
      </c>
    </row>
    <row r="122" spans="1:37" x14ac:dyDescent="0.3">
      <c r="A122" s="50"/>
      <c r="B122" s="50"/>
      <c r="C122" s="50"/>
      <c r="D122" s="50"/>
      <c r="E122" s="50"/>
      <c r="F122" s="50"/>
      <c r="G122" s="50" t="s">
        <v>160</v>
      </c>
      <c r="H122" s="51">
        <v>50</v>
      </c>
      <c r="I122" s="51">
        <v>100</v>
      </c>
      <c r="J122" s="51">
        <v>50</v>
      </c>
      <c r="K122" s="51">
        <v>50</v>
      </c>
      <c r="L122" s="51">
        <v>50</v>
      </c>
      <c r="M122" s="51">
        <v>50</v>
      </c>
      <c r="N122" s="51">
        <v>0</v>
      </c>
      <c r="O122" s="51">
        <v>50</v>
      </c>
      <c r="P122" s="51">
        <v>50</v>
      </c>
      <c r="Q122" s="51">
        <v>50</v>
      </c>
      <c r="R122" s="51">
        <v>50</v>
      </c>
      <c r="S122" s="51">
        <v>50</v>
      </c>
      <c r="T122" s="51"/>
      <c r="U122" s="51">
        <f t="shared" si="49"/>
        <v>600</v>
      </c>
      <c r="V122" s="67">
        <v>800</v>
      </c>
      <c r="W122" s="67">
        <v>800</v>
      </c>
      <c r="Y122" s="67">
        <f t="shared" si="53"/>
        <v>67</v>
      </c>
      <c r="Z122" s="67">
        <f t="shared" si="53"/>
        <v>67</v>
      </c>
      <c r="AA122" s="67">
        <f t="shared" si="53"/>
        <v>67</v>
      </c>
      <c r="AB122" s="67">
        <f t="shared" si="53"/>
        <v>67</v>
      </c>
      <c r="AC122" s="67">
        <f t="shared" si="53"/>
        <v>67</v>
      </c>
      <c r="AD122" s="67">
        <f t="shared" si="53"/>
        <v>67</v>
      </c>
      <c r="AE122" s="67">
        <f t="shared" si="53"/>
        <v>67</v>
      </c>
      <c r="AF122" s="67">
        <f t="shared" si="53"/>
        <v>67</v>
      </c>
      <c r="AG122" s="67">
        <f t="shared" si="53"/>
        <v>67</v>
      </c>
      <c r="AH122" s="67">
        <f t="shared" si="53"/>
        <v>67</v>
      </c>
      <c r="AI122" s="67">
        <f t="shared" si="53"/>
        <v>67</v>
      </c>
      <c r="AJ122" s="67">
        <f t="shared" si="51"/>
        <v>63</v>
      </c>
      <c r="AK122" s="67">
        <f t="shared" si="52"/>
        <v>0</v>
      </c>
    </row>
    <row r="123" spans="1:37" ht="15" thickBot="1" x14ac:dyDescent="0.35">
      <c r="A123" s="50"/>
      <c r="B123" s="50"/>
      <c r="C123" s="50"/>
      <c r="D123" s="50"/>
      <c r="E123" s="50"/>
      <c r="F123" s="50"/>
      <c r="G123" s="50" t="s">
        <v>161</v>
      </c>
      <c r="H123" s="52">
        <v>0</v>
      </c>
      <c r="I123" s="52">
        <v>183.75</v>
      </c>
      <c r="J123" s="52">
        <v>35.770000000000003</v>
      </c>
      <c r="K123" s="52">
        <v>103.47</v>
      </c>
      <c r="L123" s="52">
        <v>67.41</v>
      </c>
      <c r="M123" s="52">
        <v>128.22</v>
      </c>
      <c r="N123" s="52">
        <v>24.99</v>
      </c>
      <c r="O123" s="52">
        <v>83.79</v>
      </c>
      <c r="P123" s="52">
        <v>108.78</v>
      </c>
      <c r="Q123" s="52">
        <v>122.76</v>
      </c>
      <c r="R123" s="52">
        <v>0</v>
      </c>
      <c r="S123" s="52">
        <v>250</v>
      </c>
      <c r="T123" s="52"/>
      <c r="U123" s="52">
        <f t="shared" si="49"/>
        <v>1108.94</v>
      </c>
      <c r="V123" s="69">
        <v>1600</v>
      </c>
      <c r="W123" s="69">
        <v>1600</v>
      </c>
      <c r="Y123" s="69">
        <f t="shared" si="53"/>
        <v>133</v>
      </c>
      <c r="Z123" s="69">
        <f t="shared" si="53"/>
        <v>133</v>
      </c>
      <c r="AA123" s="69">
        <f t="shared" si="53"/>
        <v>133</v>
      </c>
      <c r="AB123" s="69">
        <f t="shared" si="53"/>
        <v>133</v>
      </c>
      <c r="AC123" s="69">
        <f t="shared" si="53"/>
        <v>133</v>
      </c>
      <c r="AD123" s="69">
        <f t="shared" si="53"/>
        <v>133</v>
      </c>
      <c r="AE123" s="69">
        <f t="shared" si="53"/>
        <v>133</v>
      </c>
      <c r="AF123" s="69">
        <f t="shared" si="53"/>
        <v>133</v>
      </c>
      <c r="AG123" s="69">
        <f t="shared" si="53"/>
        <v>133</v>
      </c>
      <c r="AH123" s="69">
        <f t="shared" si="53"/>
        <v>133</v>
      </c>
      <c r="AI123" s="69">
        <f t="shared" si="53"/>
        <v>133</v>
      </c>
      <c r="AJ123" s="69">
        <f t="shared" si="51"/>
        <v>137</v>
      </c>
      <c r="AK123" s="69">
        <f t="shared" si="52"/>
        <v>0</v>
      </c>
    </row>
    <row r="124" spans="1:37" x14ac:dyDescent="0.3">
      <c r="A124" s="50"/>
      <c r="B124" s="50"/>
      <c r="C124" s="50"/>
      <c r="D124" s="50"/>
      <c r="E124" s="50"/>
      <c r="F124" s="50" t="s">
        <v>162</v>
      </c>
      <c r="G124" s="50"/>
      <c r="H124" s="51">
        <f t="shared" ref="H124:S124" si="54">ROUND(SUM(H92:H123),5)</f>
        <v>4493.18</v>
      </c>
      <c r="I124" s="51">
        <f t="shared" si="54"/>
        <v>7609.06</v>
      </c>
      <c r="J124" s="51">
        <f t="shared" si="54"/>
        <v>8331.69</v>
      </c>
      <c r="K124" s="51">
        <f t="shared" si="54"/>
        <v>17856.61</v>
      </c>
      <c r="L124" s="51">
        <f t="shared" si="54"/>
        <v>7525.12</v>
      </c>
      <c r="M124" s="51">
        <f t="shared" si="54"/>
        <v>7691.51</v>
      </c>
      <c r="N124" s="51">
        <f t="shared" si="54"/>
        <v>7263.43</v>
      </c>
      <c r="O124" s="51">
        <f t="shared" si="54"/>
        <v>4806.33</v>
      </c>
      <c r="P124" s="51">
        <f t="shared" si="54"/>
        <v>5613.65</v>
      </c>
      <c r="Q124" s="51">
        <f t="shared" si="54"/>
        <v>6859.47</v>
      </c>
      <c r="R124" s="51">
        <f t="shared" si="54"/>
        <v>3953.63</v>
      </c>
      <c r="S124" s="51">
        <f t="shared" si="54"/>
        <v>8530.7999999999993</v>
      </c>
      <c r="T124" s="51"/>
      <c r="U124" s="51">
        <f t="shared" si="49"/>
        <v>90534.48</v>
      </c>
      <c r="V124" s="51">
        <f>ROUND(SUM(V92:V123),5)</f>
        <v>172150</v>
      </c>
      <c r="W124" s="51">
        <f>ROUND(SUM(W92:W123),5)</f>
        <v>177950</v>
      </c>
      <c r="Y124" s="51"/>
      <c r="Z124" s="51"/>
      <c r="AA124" s="51"/>
      <c r="AB124" s="51"/>
      <c r="AC124" s="51"/>
      <c r="AD124" s="51"/>
      <c r="AE124" s="51"/>
      <c r="AF124" s="51"/>
      <c r="AG124" s="51"/>
      <c r="AH124" s="51"/>
      <c r="AI124" s="51"/>
      <c r="AJ124" s="51"/>
      <c r="AK124" s="51"/>
    </row>
    <row r="125" spans="1:37" x14ac:dyDescent="0.3">
      <c r="A125" s="50"/>
      <c r="B125" s="50"/>
      <c r="C125" s="50"/>
      <c r="D125" s="50"/>
      <c r="E125" s="50"/>
      <c r="F125" s="50"/>
      <c r="G125" s="50"/>
      <c r="H125" s="51"/>
      <c r="I125" s="51"/>
      <c r="J125" s="51"/>
      <c r="K125" s="51"/>
      <c r="L125" s="51"/>
      <c r="M125" s="51"/>
      <c r="N125" s="51"/>
      <c r="O125" s="51"/>
      <c r="P125" s="51"/>
      <c r="Q125" s="51"/>
      <c r="R125" s="51"/>
      <c r="S125" s="51"/>
      <c r="T125" s="51"/>
      <c r="U125" s="51"/>
      <c r="V125" s="51"/>
      <c r="W125" s="51"/>
      <c r="Y125" s="51"/>
      <c r="Z125" s="51"/>
      <c r="AA125" s="51"/>
      <c r="AB125" s="51"/>
      <c r="AC125" s="51"/>
      <c r="AD125" s="51"/>
      <c r="AE125" s="51"/>
      <c r="AF125" s="51"/>
      <c r="AG125" s="51"/>
      <c r="AH125" s="51"/>
      <c r="AI125" s="51"/>
      <c r="AJ125" s="51"/>
      <c r="AK125" s="51"/>
    </row>
    <row r="126" spans="1:37" x14ac:dyDescent="0.3">
      <c r="A126" s="50"/>
      <c r="B126" s="50"/>
      <c r="C126" s="50"/>
      <c r="D126" s="50"/>
      <c r="E126" s="50"/>
      <c r="F126" s="50"/>
      <c r="G126" s="50"/>
      <c r="H126" s="51"/>
      <c r="I126" s="51"/>
      <c r="J126" s="51"/>
      <c r="K126" s="51"/>
      <c r="L126" s="51"/>
      <c r="M126" s="51"/>
      <c r="N126" s="51"/>
      <c r="O126" s="51"/>
      <c r="P126" s="51"/>
      <c r="Q126" s="51"/>
      <c r="R126" s="51"/>
      <c r="S126" s="51"/>
      <c r="T126" s="51"/>
      <c r="U126" s="51"/>
      <c r="V126" s="51"/>
      <c r="W126" s="51"/>
      <c r="Y126" s="51"/>
      <c r="Z126" s="51"/>
      <c r="AA126" s="51"/>
      <c r="AB126" s="51"/>
      <c r="AC126" s="51"/>
      <c r="AD126" s="51"/>
      <c r="AE126" s="51"/>
      <c r="AF126" s="51"/>
      <c r="AG126" s="51"/>
      <c r="AH126" s="51"/>
      <c r="AI126" s="51"/>
      <c r="AJ126" s="51"/>
      <c r="AK126" s="51"/>
    </row>
    <row r="127" spans="1:37" x14ac:dyDescent="0.3">
      <c r="A127" s="50"/>
      <c r="B127" s="50"/>
      <c r="C127" s="50"/>
      <c r="D127" s="50"/>
      <c r="E127" s="50"/>
      <c r="F127" s="50"/>
      <c r="G127" s="50"/>
      <c r="H127" s="51"/>
      <c r="I127" s="51"/>
      <c r="J127" s="51"/>
      <c r="K127" s="51"/>
      <c r="L127" s="51"/>
      <c r="M127" s="51"/>
      <c r="N127" s="51"/>
      <c r="O127" s="51"/>
      <c r="P127" s="51"/>
      <c r="Q127" s="51"/>
      <c r="R127" s="51"/>
      <c r="S127" s="51"/>
      <c r="T127" s="51"/>
      <c r="U127" s="51"/>
      <c r="V127" s="51"/>
      <c r="W127" s="51"/>
      <c r="Y127" s="51"/>
      <c r="Z127" s="51"/>
      <c r="AA127" s="51"/>
      <c r="AB127" s="51"/>
      <c r="AC127" s="51"/>
      <c r="AD127" s="51"/>
      <c r="AE127" s="51"/>
      <c r="AF127" s="51"/>
      <c r="AG127" s="51"/>
      <c r="AH127" s="51"/>
      <c r="AI127" s="51"/>
      <c r="AJ127" s="51"/>
      <c r="AK127" s="51"/>
    </row>
    <row r="128" spans="1:37" x14ac:dyDescent="0.3">
      <c r="A128" s="50"/>
      <c r="B128" s="50"/>
      <c r="C128" s="50"/>
      <c r="D128" s="50"/>
      <c r="E128" s="50"/>
      <c r="F128" s="50"/>
      <c r="G128" s="50"/>
      <c r="H128" s="51"/>
      <c r="I128" s="51"/>
      <c r="J128" s="51"/>
      <c r="K128" s="51"/>
      <c r="L128" s="51"/>
      <c r="M128" s="51"/>
      <c r="N128" s="51"/>
      <c r="O128" s="51"/>
      <c r="P128" s="51"/>
      <c r="Q128" s="51"/>
      <c r="R128" s="51"/>
      <c r="S128" s="51"/>
      <c r="T128" s="51"/>
      <c r="U128" s="51"/>
      <c r="V128" s="51"/>
      <c r="W128" s="51"/>
      <c r="Y128" s="51"/>
      <c r="Z128" s="51"/>
      <c r="AA128" s="51"/>
      <c r="AB128" s="51"/>
      <c r="AC128" s="51"/>
      <c r="AD128" s="51"/>
      <c r="AE128" s="51"/>
      <c r="AF128" s="51"/>
      <c r="AG128" s="51"/>
      <c r="AH128" s="51"/>
      <c r="AI128" s="51"/>
      <c r="AJ128" s="51"/>
      <c r="AK128" s="51"/>
    </row>
    <row r="129" spans="1:37" x14ac:dyDescent="0.3">
      <c r="A129" s="50"/>
      <c r="B129" s="50"/>
      <c r="C129" s="50"/>
      <c r="D129" s="50"/>
      <c r="E129" s="50"/>
      <c r="F129" s="50"/>
      <c r="G129" s="50"/>
      <c r="H129" s="51"/>
      <c r="I129" s="51"/>
      <c r="J129" s="51"/>
      <c r="K129" s="51"/>
      <c r="L129" s="51"/>
      <c r="M129" s="51"/>
      <c r="N129" s="51"/>
      <c r="O129" s="51"/>
      <c r="P129" s="51"/>
      <c r="Q129" s="51"/>
      <c r="R129" s="51"/>
      <c r="S129" s="51"/>
      <c r="T129" s="51"/>
      <c r="U129" s="51"/>
      <c r="V129" s="51"/>
      <c r="W129" s="51"/>
      <c r="Y129" s="51"/>
      <c r="Z129" s="51"/>
      <c r="AA129" s="51"/>
      <c r="AB129" s="51"/>
      <c r="AC129" s="51"/>
      <c r="AD129" s="51"/>
      <c r="AE129" s="51"/>
      <c r="AF129" s="51"/>
      <c r="AG129" s="51"/>
      <c r="AH129" s="51"/>
      <c r="AI129" s="51"/>
      <c r="AJ129" s="51"/>
      <c r="AK129" s="51"/>
    </row>
    <row r="130" spans="1:37" x14ac:dyDescent="0.3">
      <c r="A130" s="50"/>
      <c r="B130" s="50"/>
      <c r="C130" s="50"/>
      <c r="D130" s="50"/>
      <c r="E130" s="50"/>
      <c r="F130" s="50"/>
      <c r="G130" s="50"/>
      <c r="H130" s="51"/>
      <c r="I130" s="51"/>
      <c r="J130" s="51"/>
      <c r="K130" s="51"/>
      <c r="L130" s="51"/>
      <c r="M130" s="51"/>
      <c r="N130" s="51"/>
      <c r="O130" s="51"/>
      <c r="P130" s="51"/>
      <c r="Q130" s="51"/>
      <c r="R130" s="51"/>
      <c r="S130" s="51"/>
      <c r="T130" s="51"/>
      <c r="U130" s="51"/>
      <c r="V130" s="51"/>
      <c r="W130" s="51"/>
      <c r="Y130" s="51"/>
      <c r="Z130" s="51"/>
      <c r="AA130" s="51"/>
      <c r="AB130" s="51"/>
      <c r="AC130" s="51"/>
      <c r="AD130" s="51"/>
      <c r="AE130" s="51"/>
      <c r="AF130" s="51"/>
      <c r="AG130" s="51"/>
      <c r="AH130" s="51"/>
      <c r="AI130" s="51"/>
      <c r="AJ130" s="51"/>
      <c r="AK130" s="51"/>
    </row>
    <row r="131" spans="1:37" x14ac:dyDescent="0.3">
      <c r="A131" s="50"/>
      <c r="B131" s="50"/>
      <c r="C131" s="50"/>
      <c r="D131" s="50"/>
      <c r="E131" s="50"/>
      <c r="F131" s="50"/>
      <c r="G131" s="50"/>
      <c r="H131" s="51"/>
      <c r="I131" s="51"/>
      <c r="J131" s="51"/>
      <c r="K131" s="51"/>
      <c r="L131" s="51"/>
      <c r="M131" s="51"/>
      <c r="N131" s="51"/>
      <c r="O131" s="51"/>
      <c r="P131" s="51"/>
      <c r="Q131" s="51"/>
      <c r="R131" s="51"/>
      <c r="S131" s="51"/>
      <c r="T131" s="51"/>
      <c r="U131" s="51"/>
      <c r="V131" s="51"/>
      <c r="W131" s="51"/>
      <c r="Y131" s="51"/>
      <c r="Z131" s="51"/>
      <c r="AA131" s="51"/>
      <c r="AB131" s="51"/>
      <c r="AC131" s="51"/>
      <c r="AD131" s="51"/>
      <c r="AE131" s="51"/>
      <c r="AF131" s="51"/>
      <c r="AG131" s="51"/>
      <c r="AH131" s="51"/>
      <c r="AI131" s="51"/>
      <c r="AJ131" s="51"/>
      <c r="AK131" s="51"/>
    </row>
    <row r="132" spans="1:37" x14ac:dyDescent="0.3">
      <c r="A132" s="50"/>
      <c r="B132" s="50"/>
      <c r="C132" s="50"/>
      <c r="D132" s="50"/>
      <c r="E132" s="50"/>
      <c r="F132" s="50"/>
      <c r="G132" s="50"/>
      <c r="H132" s="51"/>
      <c r="I132" s="51"/>
      <c r="J132" s="51"/>
      <c r="K132" s="51"/>
      <c r="L132" s="51"/>
      <c r="M132" s="51"/>
      <c r="N132" s="51"/>
      <c r="O132" s="51"/>
      <c r="P132" s="51"/>
      <c r="Q132" s="51"/>
      <c r="R132" s="51"/>
      <c r="S132" s="51"/>
      <c r="T132" s="51"/>
      <c r="U132" s="51"/>
      <c r="V132" s="51"/>
      <c r="W132" s="51"/>
      <c r="Y132" s="51"/>
      <c r="Z132" s="51"/>
      <c r="AA132" s="51"/>
      <c r="AB132" s="51"/>
      <c r="AC132" s="51"/>
      <c r="AD132" s="51"/>
      <c r="AE132" s="51"/>
      <c r="AF132" s="51"/>
      <c r="AG132" s="51"/>
      <c r="AH132" s="51"/>
      <c r="AI132" s="51"/>
      <c r="AJ132" s="51"/>
      <c r="AK132" s="51"/>
    </row>
    <row r="133" spans="1:37" x14ac:dyDescent="0.3">
      <c r="A133" s="50"/>
      <c r="B133" s="50"/>
      <c r="C133" s="50"/>
      <c r="D133" s="50"/>
      <c r="E133" s="50"/>
      <c r="F133" s="50"/>
      <c r="G133" s="50"/>
      <c r="H133" s="51"/>
      <c r="I133" s="51"/>
      <c r="J133" s="51"/>
      <c r="K133" s="51"/>
      <c r="L133" s="51"/>
      <c r="M133" s="51"/>
      <c r="N133" s="51"/>
      <c r="O133" s="51"/>
      <c r="P133" s="51"/>
      <c r="Q133" s="51"/>
      <c r="R133" s="51"/>
      <c r="S133" s="51"/>
      <c r="T133" s="51"/>
      <c r="U133" s="51"/>
      <c r="V133" s="51"/>
      <c r="W133" s="51"/>
      <c r="Y133" s="51"/>
      <c r="Z133" s="51"/>
      <c r="AA133" s="51"/>
      <c r="AB133" s="51"/>
      <c r="AC133" s="51"/>
      <c r="AD133" s="51"/>
      <c r="AE133" s="51"/>
      <c r="AF133" s="51"/>
      <c r="AG133" s="51"/>
      <c r="AH133" s="51"/>
      <c r="AI133" s="51"/>
      <c r="AJ133" s="51"/>
      <c r="AK133" s="51"/>
    </row>
    <row r="134" spans="1:37" x14ac:dyDescent="0.3">
      <c r="A134" s="50"/>
      <c r="B134" s="50"/>
      <c r="C134" s="50"/>
      <c r="D134" s="50"/>
      <c r="E134" s="50"/>
      <c r="F134" s="50"/>
      <c r="G134" s="50"/>
      <c r="H134" s="51"/>
      <c r="I134" s="51"/>
      <c r="J134" s="51"/>
      <c r="K134" s="51"/>
      <c r="L134" s="51"/>
      <c r="M134" s="51"/>
      <c r="N134" s="51"/>
      <c r="O134" s="51"/>
      <c r="P134" s="51"/>
      <c r="Q134" s="51"/>
      <c r="R134" s="51"/>
      <c r="S134" s="51"/>
      <c r="T134" s="51"/>
      <c r="U134" s="51"/>
      <c r="V134" s="51"/>
      <c r="W134" s="51"/>
      <c r="Y134" s="51"/>
      <c r="Z134" s="51"/>
      <c r="AA134" s="51"/>
      <c r="AB134" s="51"/>
      <c r="AC134" s="51"/>
      <c r="AD134" s="51"/>
      <c r="AE134" s="51"/>
      <c r="AF134" s="51"/>
      <c r="AG134" s="51"/>
      <c r="AH134" s="51"/>
      <c r="AI134" s="51"/>
      <c r="AJ134" s="51"/>
      <c r="AK134" s="51"/>
    </row>
    <row r="135" spans="1:37" x14ac:dyDescent="0.3">
      <c r="A135" s="50"/>
      <c r="B135" s="50"/>
      <c r="C135" s="50"/>
      <c r="D135" s="50"/>
      <c r="E135" s="50"/>
      <c r="F135" s="50"/>
      <c r="G135" s="50"/>
      <c r="H135" s="51"/>
      <c r="I135" s="51"/>
      <c r="J135" s="51"/>
      <c r="K135" s="51"/>
      <c r="L135" s="51"/>
      <c r="M135" s="51"/>
      <c r="N135" s="51"/>
      <c r="O135" s="51"/>
      <c r="P135" s="51"/>
      <c r="Q135" s="51"/>
      <c r="R135" s="51"/>
      <c r="S135" s="51"/>
      <c r="T135" s="51"/>
      <c r="U135" s="51"/>
      <c r="V135" s="51"/>
      <c r="W135" s="51"/>
      <c r="Y135" s="51"/>
      <c r="Z135" s="51"/>
      <c r="AA135" s="51"/>
      <c r="AB135" s="51"/>
      <c r="AC135" s="51"/>
      <c r="AD135" s="51"/>
      <c r="AE135" s="51"/>
      <c r="AF135" s="51"/>
      <c r="AG135" s="51"/>
      <c r="AH135" s="51"/>
      <c r="AI135" s="51"/>
      <c r="AJ135" s="51"/>
      <c r="AK135" s="51"/>
    </row>
    <row r="136" spans="1:37" x14ac:dyDescent="0.3">
      <c r="A136" s="50"/>
      <c r="B136" s="50"/>
      <c r="C136" s="50"/>
      <c r="D136" s="50"/>
      <c r="E136" s="50"/>
      <c r="F136" s="50" t="s">
        <v>163</v>
      </c>
      <c r="G136" s="50"/>
      <c r="H136" s="51"/>
      <c r="I136" s="51"/>
      <c r="J136" s="51"/>
      <c r="K136" s="51"/>
      <c r="L136" s="51"/>
      <c r="M136" s="51"/>
      <c r="N136" s="51"/>
      <c r="O136" s="51"/>
      <c r="P136" s="51"/>
      <c r="Q136" s="51"/>
      <c r="R136" s="51"/>
      <c r="S136" s="51"/>
      <c r="T136" s="51"/>
      <c r="U136" s="51"/>
      <c r="V136" s="51"/>
      <c r="W136" s="51"/>
      <c r="Y136" s="51"/>
      <c r="Z136" s="51"/>
      <c r="AA136" s="51"/>
      <c r="AB136" s="51"/>
      <c r="AC136" s="51"/>
      <c r="AD136" s="51"/>
      <c r="AE136" s="51"/>
      <c r="AF136" s="51"/>
      <c r="AG136" s="51"/>
      <c r="AH136" s="51"/>
      <c r="AI136" s="51"/>
      <c r="AJ136" s="51"/>
      <c r="AK136" s="51"/>
    </row>
    <row r="137" spans="1:37" x14ac:dyDescent="0.3">
      <c r="A137" s="50"/>
      <c r="B137" s="50"/>
      <c r="C137" s="50"/>
      <c r="D137" s="50"/>
      <c r="E137" s="50"/>
      <c r="F137" s="50"/>
      <c r="G137" s="50" t="s">
        <v>164</v>
      </c>
      <c r="H137" s="51">
        <v>1792.61</v>
      </c>
      <c r="I137" s="51">
        <v>0</v>
      </c>
      <c r="J137" s="51">
        <v>0</v>
      </c>
      <c r="K137" s="51">
        <v>387.88</v>
      </c>
      <c r="L137" s="51">
        <f>2523.37-1900</f>
        <v>623.36999999999989</v>
      </c>
      <c r="M137" s="51">
        <v>2521.58</v>
      </c>
      <c r="N137" s="51">
        <v>2451.31</v>
      </c>
      <c r="O137" s="51">
        <v>0</v>
      </c>
      <c r="P137" s="51">
        <v>223.58</v>
      </c>
      <c r="Q137" s="51">
        <v>0</v>
      </c>
      <c r="R137" s="51">
        <v>989.58</v>
      </c>
      <c r="S137" s="51">
        <v>190</v>
      </c>
      <c r="T137" s="51"/>
      <c r="U137" s="51">
        <f t="shared" ref="U137:U149" si="55">ROUND(SUM(H137:T137),5)</f>
        <v>9179.91</v>
      </c>
      <c r="V137" s="67">
        <v>10000</v>
      </c>
      <c r="W137" s="67">
        <v>15000</v>
      </c>
      <c r="Y137" s="67">
        <f t="shared" ref="Y137:AI147" si="56">ROUND($W137/12,0)</f>
        <v>1250</v>
      </c>
      <c r="Z137" s="67">
        <f t="shared" si="56"/>
        <v>1250</v>
      </c>
      <c r="AA137" s="67">
        <f t="shared" si="56"/>
        <v>1250</v>
      </c>
      <c r="AB137" s="67">
        <f t="shared" si="56"/>
        <v>1250</v>
      </c>
      <c r="AC137" s="67">
        <f t="shared" si="56"/>
        <v>1250</v>
      </c>
      <c r="AD137" s="67">
        <f t="shared" si="56"/>
        <v>1250</v>
      </c>
      <c r="AE137" s="67">
        <f t="shared" si="56"/>
        <v>1250</v>
      </c>
      <c r="AF137" s="67">
        <f t="shared" si="56"/>
        <v>1250</v>
      </c>
      <c r="AG137" s="67">
        <f t="shared" si="56"/>
        <v>1250</v>
      </c>
      <c r="AH137" s="67">
        <f t="shared" si="56"/>
        <v>1250</v>
      </c>
      <c r="AI137" s="67">
        <f t="shared" si="56"/>
        <v>1250</v>
      </c>
      <c r="AJ137" s="67">
        <f t="shared" ref="AJ137" si="57">W137-Y137-Z137-AA137-AB137-AC137-AD137-AE137-AF137-AG137-AH137-AI137</f>
        <v>1250</v>
      </c>
      <c r="AK137" s="67">
        <f t="shared" ref="AK137" si="58">SUM(Y137:AJ137)-W137</f>
        <v>0</v>
      </c>
    </row>
    <row r="138" spans="1:37" x14ac:dyDescent="0.3">
      <c r="A138" s="50"/>
      <c r="B138" s="50"/>
      <c r="C138" s="50"/>
      <c r="D138" s="50"/>
      <c r="E138" s="50"/>
      <c r="F138" s="50"/>
      <c r="G138" s="50" t="s">
        <v>165</v>
      </c>
      <c r="H138" s="51">
        <v>0</v>
      </c>
      <c r="I138" s="51">
        <v>0</v>
      </c>
      <c r="J138" s="51">
        <v>0</v>
      </c>
      <c r="K138" s="51">
        <v>0</v>
      </c>
      <c r="L138" s="51">
        <v>0</v>
      </c>
      <c r="M138" s="51">
        <v>0</v>
      </c>
      <c r="N138" s="51">
        <v>0</v>
      </c>
      <c r="O138" s="51">
        <v>0</v>
      </c>
      <c r="P138" s="51">
        <v>0</v>
      </c>
      <c r="Q138" s="51">
        <v>0</v>
      </c>
      <c r="R138" s="51">
        <v>0</v>
      </c>
      <c r="S138" s="51">
        <v>0</v>
      </c>
      <c r="T138" s="51"/>
      <c r="U138" s="51">
        <f t="shared" si="55"/>
        <v>0</v>
      </c>
      <c r="V138" s="67">
        <v>2500</v>
      </c>
      <c r="W138" s="67">
        <v>2500</v>
      </c>
      <c r="Y138" s="67">
        <f t="shared" si="56"/>
        <v>208</v>
      </c>
      <c r="Z138" s="67">
        <f t="shared" si="56"/>
        <v>208</v>
      </c>
      <c r="AA138" s="67">
        <f t="shared" si="56"/>
        <v>208</v>
      </c>
      <c r="AB138" s="67">
        <f t="shared" si="56"/>
        <v>208</v>
      </c>
      <c r="AC138" s="67">
        <f t="shared" si="56"/>
        <v>208</v>
      </c>
      <c r="AD138" s="67">
        <f t="shared" si="56"/>
        <v>208</v>
      </c>
      <c r="AE138" s="67">
        <f t="shared" si="56"/>
        <v>208</v>
      </c>
      <c r="AF138" s="67">
        <f t="shared" si="56"/>
        <v>208</v>
      </c>
      <c r="AG138" s="67">
        <f t="shared" si="56"/>
        <v>208</v>
      </c>
      <c r="AH138" s="67">
        <f t="shared" si="56"/>
        <v>208</v>
      </c>
      <c r="AI138" s="67">
        <f t="shared" si="56"/>
        <v>208</v>
      </c>
      <c r="AJ138" s="67">
        <f t="shared" ref="AJ138:AJ147" si="59">W138-Y138-Z138-AA138-AB138-AC138-AD138-AE138-AF138-AG138-AH138-AI138</f>
        <v>212</v>
      </c>
      <c r="AK138" s="67">
        <f t="shared" ref="AK138:AK147" si="60">SUM(Y138:AJ138)-W138</f>
        <v>0</v>
      </c>
    </row>
    <row r="139" spans="1:37" x14ac:dyDescent="0.3">
      <c r="A139" s="50"/>
      <c r="B139" s="50"/>
      <c r="C139" s="50"/>
      <c r="D139" s="50"/>
      <c r="E139" s="50"/>
      <c r="F139" s="50"/>
      <c r="G139" s="50" t="s">
        <v>166</v>
      </c>
      <c r="H139" s="51">
        <v>2668.6</v>
      </c>
      <c r="I139" s="51">
        <v>61</v>
      </c>
      <c r="J139" s="51">
        <v>490</v>
      </c>
      <c r="K139" s="51">
        <v>2228</v>
      </c>
      <c r="L139" s="51">
        <v>2690</v>
      </c>
      <c r="M139" s="51">
        <v>490</v>
      </c>
      <c r="N139" s="51">
        <v>490</v>
      </c>
      <c r="O139" s="51">
        <v>2228</v>
      </c>
      <c r="P139" s="51">
        <v>539.59</v>
      </c>
      <c r="Q139" s="51">
        <v>2135.7199999999998</v>
      </c>
      <c r="R139" s="51">
        <v>2280.1999999999998</v>
      </c>
      <c r="S139" s="51">
        <v>490</v>
      </c>
      <c r="T139" s="51"/>
      <c r="U139" s="51">
        <f t="shared" si="55"/>
        <v>16791.11</v>
      </c>
      <c r="V139" s="67">
        <v>16500</v>
      </c>
      <c r="W139" s="67">
        <v>18000</v>
      </c>
      <c r="Y139" s="67">
        <f t="shared" si="56"/>
        <v>1500</v>
      </c>
      <c r="Z139" s="67">
        <f t="shared" si="56"/>
        <v>1500</v>
      </c>
      <c r="AA139" s="67">
        <f t="shared" si="56"/>
        <v>1500</v>
      </c>
      <c r="AB139" s="67">
        <f t="shared" si="56"/>
        <v>1500</v>
      </c>
      <c r="AC139" s="67">
        <f t="shared" si="56"/>
        <v>1500</v>
      </c>
      <c r="AD139" s="67">
        <f t="shared" si="56"/>
        <v>1500</v>
      </c>
      <c r="AE139" s="67">
        <f t="shared" si="56"/>
        <v>1500</v>
      </c>
      <c r="AF139" s="67">
        <f t="shared" si="56"/>
        <v>1500</v>
      </c>
      <c r="AG139" s="67">
        <f t="shared" si="56"/>
        <v>1500</v>
      </c>
      <c r="AH139" s="67">
        <f t="shared" si="56"/>
        <v>1500</v>
      </c>
      <c r="AI139" s="67">
        <f t="shared" si="56"/>
        <v>1500</v>
      </c>
      <c r="AJ139" s="67">
        <f t="shared" si="59"/>
        <v>1500</v>
      </c>
      <c r="AK139" s="67">
        <f t="shared" si="60"/>
        <v>0</v>
      </c>
    </row>
    <row r="140" spans="1:37" x14ac:dyDescent="0.3">
      <c r="A140" s="50"/>
      <c r="B140" s="50"/>
      <c r="C140" s="50"/>
      <c r="D140" s="50"/>
      <c r="E140" s="50"/>
      <c r="F140" s="50"/>
      <c r="G140" s="50" t="s">
        <v>167</v>
      </c>
      <c r="H140" s="51">
        <v>900</v>
      </c>
      <c r="I140" s="51">
        <v>46</v>
      </c>
      <c r="J140" s="51">
        <v>450</v>
      </c>
      <c r="K140" s="51">
        <v>496</v>
      </c>
      <c r="L140" s="51">
        <v>691</v>
      </c>
      <c r="M140" s="51">
        <v>450</v>
      </c>
      <c r="N140" s="51">
        <v>546</v>
      </c>
      <c r="O140" s="51">
        <v>500</v>
      </c>
      <c r="P140" s="51">
        <v>546</v>
      </c>
      <c r="Q140" s="51">
        <v>546</v>
      </c>
      <c r="R140" s="51">
        <v>500</v>
      </c>
      <c r="S140" s="51">
        <v>450</v>
      </c>
      <c r="T140" s="51"/>
      <c r="U140" s="51">
        <f t="shared" si="55"/>
        <v>6121</v>
      </c>
      <c r="V140" s="67">
        <v>6000</v>
      </c>
      <c r="W140" s="67">
        <v>6800</v>
      </c>
      <c r="Y140" s="67">
        <f t="shared" si="56"/>
        <v>567</v>
      </c>
      <c r="Z140" s="67">
        <f t="shared" si="56"/>
        <v>567</v>
      </c>
      <c r="AA140" s="67">
        <f t="shared" si="56"/>
        <v>567</v>
      </c>
      <c r="AB140" s="67">
        <f t="shared" si="56"/>
        <v>567</v>
      </c>
      <c r="AC140" s="67">
        <f t="shared" si="56"/>
        <v>567</v>
      </c>
      <c r="AD140" s="67">
        <f t="shared" si="56"/>
        <v>567</v>
      </c>
      <c r="AE140" s="67">
        <f t="shared" si="56"/>
        <v>567</v>
      </c>
      <c r="AF140" s="67">
        <f t="shared" si="56"/>
        <v>567</v>
      </c>
      <c r="AG140" s="67">
        <f t="shared" si="56"/>
        <v>567</v>
      </c>
      <c r="AH140" s="67">
        <f t="shared" si="56"/>
        <v>567</v>
      </c>
      <c r="AI140" s="67">
        <f t="shared" si="56"/>
        <v>567</v>
      </c>
      <c r="AJ140" s="67">
        <f t="shared" si="59"/>
        <v>563</v>
      </c>
      <c r="AK140" s="67">
        <f t="shared" si="60"/>
        <v>0</v>
      </c>
    </row>
    <row r="141" spans="1:37" x14ac:dyDescent="0.3">
      <c r="A141" s="50"/>
      <c r="B141" s="50"/>
      <c r="C141" s="50"/>
      <c r="D141" s="50"/>
      <c r="E141" s="50"/>
      <c r="F141" s="50"/>
      <c r="G141" s="50" t="s">
        <v>168</v>
      </c>
      <c r="H141" s="51">
        <v>0</v>
      </c>
      <c r="I141" s="51">
        <v>1400</v>
      </c>
      <c r="J141" s="51">
        <v>0</v>
      </c>
      <c r="K141" s="51">
        <v>0</v>
      </c>
      <c r="L141" s="51">
        <v>400</v>
      </c>
      <c r="M141" s="51">
        <v>0</v>
      </c>
      <c r="N141" s="51">
        <v>0</v>
      </c>
      <c r="O141" s="51">
        <v>0</v>
      </c>
      <c r="P141" s="51">
        <v>0</v>
      </c>
      <c r="Q141" s="51">
        <v>0</v>
      </c>
      <c r="R141" s="51">
        <v>0</v>
      </c>
      <c r="S141" s="51">
        <v>800</v>
      </c>
      <c r="T141" s="51"/>
      <c r="U141" s="51">
        <f t="shared" si="55"/>
        <v>2600</v>
      </c>
      <c r="V141" s="67">
        <v>2500</v>
      </c>
      <c r="W141" s="67">
        <v>2650</v>
      </c>
      <c r="Y141" s="67">
        <f t="shared" si="56"/>
        <v>221</v>
      </c>
      <c r="Z141" s="67">
        <f t="shared" si="56"/>
        <v>221</v>
      </c>
      <c r="AA141" s="67">
        <f t="shared" si="56"/>
        <v>221</v>
      </c>
      <c r="AB141" s="67">
        <f t="shared" si="56"/>
        <v>221</v>
      </c>
      <c r="AC141" s="67">
        <f t="shared" si="56"/>
        <v>221</v>
      </c>
      <c r="AD141" s="67">
        <f t="shared" si="56"/>
        <v>221</v>
      </c>
      <c r="AE141" s="67">
        <f t="shared" si="56"/>
        <v>221</v>
      </c>
      <c r="AF141" s="67">
        <f t="shared" si="56"/>
        <v>221</v>
      </c>
      <c r="AG141" s="67">
        <f t="shared" si="56"/>
        <v>221</v>
      </c>
      <c r="AH141" s="67">
        <f t="shared" si="56"/>
        <v>221</v>
      </c>
      <c r="AI141" s="67">
        <f t="shared" si="56"/>
        <v>221</v>
      </c>
      <c r="AJ141" s="67">
        <f t="shared" si="59"/>
        <v>219</v>
      </c>
      <c r="AK141" s="67">
        <f t="shared" si="60"/>
        <v>0</v>
      </c>
    </row>
    <row r="142" spans="1:37" x14ac:dyDescent="0.3">
      <c r="A142" s="50"/>
      <c r="B142" s="50"/>
      <c r="C142" s="50"/>
      <c r="D142" s="50"/>
      <c r="E142" s="50"/>
      <c r="F142" s="50"/>
      <c r="G142" s="50" t="s">
        <v>169</v>
      </c>
      <c r="H142" s="51">
        <v>0</v>
      </c>
      <c r="I142" s="51">
        <v>0</v>
      </c>
      <c r="J142" s="51">
        <v>155</v>
      </c>
      <c r="K142" s="51">
        <v>172</v>
      </c>
      <c r="L142" s="51">
        <v>0</v>
      </c>
      <c r="M142" s="51">
        <v>930</v>
      </c>
      <c r="N142" s="51">
        <v>0</v>
      </c>
      <c r="O142" s="51">
        <v>0</v>
      </c>
      <c r="P142" s="51">
        <v>305</v>
      </c>
      <c r="Q142" s="51">
        <v>0</v>
      </c>
      <c r="R142" s="51">
        <v>761</v>
      </c>
      <c r="S142" s="51">
        <v>465</v>
      </c>
      <c r="T142" s="51"/>
      <c r="U142" s="51">
        <f t="shared" si="55"/>
        <v>2788</v>
      </c>
      <c r="V142" s="67">
        <v>2500</v>
      </c>
      <c r="W142" s="67">
        <v>3000</v>
      </c>
      <c r="Y142" s="67">
        <f t="shared" si="56"/>
        <v>250</v>
      </c>
      <c r="Z142" s="67">
        <f t="shared" si="56"/>
        <v>250</v>
      </c>
      <c r="AA142" s="67">
        <f t="shared" si="56"/>
        <v>250</v>
      </c>
      <c r="AB142" s="67">
        <f t="shared" si="56"/>
        <v>250</v>
      </c>
      <c r="AC142" s="67">
        <f t="shared" si="56"/>
        <v>250</v>
      </c>
      <c r="AD142" s="67">
        <f t="shared" si="56"/>
        <v>250</v>
      </c>
      <c r="AE142" s="67">
        <f t="shared" si="56"/>
        <v>250</v>
      </c>
      <c r="AF142" s="67">
        <f t="shared" si="56"/>
        <v>250</v>
      </c>
      <c r="AG142" s="67">
        <f t="shared" si="56"/>
        <v>250</v>
      </c>
      <c r="AH142" s="67">
        <f t="shared" si="56"/>
        <v>250</v>
      </c>
      <c r="AI142" s="67">
        <f t="shared" si="56"/>
        <v>250</v>
      </c>
      <c r="AJ142" s="67">
        <f t="shared" si="59"/>
        <v>250</v>
      </c>
      <c r="AK142" s="67">
        <f t="shared" si="60"/>
        <v>0</v>
      </c>
    </row>
    <row r="143" spans="1:37" ht="13.8" customHeight="1" x14ac:dyDescent="0.3">
      <c r="A143" s="50"/>
      <c r="B143" s="50"/>
      <c r="C143" s="50"/>
      <c r="D143" s="50"/>
      <c r="E143" s="50"/>
      <c r="F143" s="50"/>
      <c r="G143" s="50" t="s">
        <v>170</v>
      </c>
      <c r="H143" s="51">
        <v>0</v>
      </c>
      <c r="I143" s="51">
        <v>0</v>
      </c>
      <c r="J143" s="51">
        <v>0</v>
      </c>
      <c r="K143" s="51">
        <v>0</v>
      </c>
      <c r="L143" s="51">
        <v>0</v>
      </c>
      <c r="M143" s="51">
        <v>0</v>
      </c>
      <c r="N143" s="51">
        <v>0</v>
      </c>
      <c r="O143" s="51">
        <v>0</v>
      </c>
      <c r="P143" s="51">
        <v>0</v>
      </c>
      <c r="Q143" s="51">
        <v>0</v>
      </c>
      <c r="R143" s="51">
        <v>0</v>
      </c>
      <c r="S143" s="51">
        <v>0</v>
      </c>
      <c r="T143" s="51"/>
      <c r="U143" s="51">
        <v>0</v>
      </c>
      <c r="V143" s="67">
        <v>400</v>
      </c>
      <c r="W143" s="67">
        <v>400</v>
      </c>
      <c r="Y143" s="67">
        <f t="shared" si="56"/>
        <v>33</v>
      </c>
      <c r="Z143" s="67">
        <f t="shared" si="56"/>
        <v>33</v>
      </c>
      <c r="AA143" s="67">
        <f t="shared" si="56"/>
        <v>33</v>
      </c>
      <c r="AB143" s="67">
        <f t="shared" si="56"/>
        <v>33</v>
      </c>
      <c r="AC143" s="67">
        <f t="shared" si="56"/>
        <v>33</v>
      </c>
      <c r="AD143" s="67">
        <f t="shared" si="56"/>
        <v>33</v>
      </c>
      <c r="AE143" s="67">
        <f t="shared" si="56"/>
        <v>33</v>
      </c>
      <c r="AF143" s="67">
        <f t="shared" si="56"/>
        <v>33</v>
      </c>
      <c r="AG143" s="67">
        <f t="shared" si="56"/>
        <v>33</v>
      </c>
      <c r="AH143" s="67">
        <f t="shared" si="56"/>
        <v>33</v>
      </c>
      <c r="AI143" s="67">
        <f t="shared" si="56"/>
        <v>33</v>
      </c>
      <c r="AJ143" s="67">
        <f t="shared" si="59"/>
        <v>37</v>
      </c>
      <c r="AK143" s="67">
        <f t="shared" si="60"/>
        <v>0</v>
      </c>
    </row>
    <row r="144" spans="1:37" ht="13.8" customHeight="1" x14ac:dyDescent="0.3">
      <c r="A144" s="50"/>
      <c r="B144" s="50"/>
      <c r="C144" s="50"/>
      <c r="D144" s="50"/>
      <c r="E144" s="50"/>
      <c r="F144" s="50"/>
      <c r="G144" s="50" t="s">
        <v>171</v>
      </c>
      <c r="H144" s="51">
        <v>333.11</v>
      </c>
      <c r="I144" s="51">
        <v>0</v>
      </c>
      <c r="J144" s="51">
        <v>666.22</v>
      </c>
      <c r="K144" s="51">
        <v>71.599999999999994</v>
      </c>
      <c r="L144" s="51">
        <v>666.22</v>
      </c>
      <c r="M144" s="51">
        <v>8306.75</v>
      </c>
      <c r="N144" s="51">
        <v>149.18</v>
      </c>
      <c r="O144" s="51">
        <v>7675.8</v>
      </c>
      <c r="P144" s="51">
        <v>327.41000000000003</v>
      </c>
      <c r="Q144" s="51">
        <v>59.1</v>
      </c>
      <c r="R144" s="51">
        <v>228.97</v>
      </c>
      <c r="S144" s="51">
        <v>758.23</v>
      </c>
      <c r="T144" s="51"/>
      <c r="U144" s="51">
        <f t="shared" si="55"/>
        <v>19242.59</v>
      </c>
      <c r="V144" s="67">
        <v>7500</v>
      </c>
      <c r="W144" s="67">
        <v>7500</v>
      </c>
      <c r="Y144" s="67">
        <f t="shared" si="56"/>
        <v>625</v>
      </c>
      <c r="Z144" s="67">
        <f t="shared" si="56"/>
        <v>625</v>
      </c>
      <c r="AA144" s="67">
        <f t="shared" si="56"/>
        <v>625</v>
      </c>
      <c r="AB144" s="67">
        <f t="shared" si="56"/>
        <v>625</v>
      </c>
      <c r="AC144" s="67">
        <f t="shared" si="56"/>
        <v>625</v>
      </c>
      <c r="AD144" s="67">
        <f t="shared" si="56"/>
        <v>625</v>
      </c>
      <c r="AE144" s="67">
        <f t="shared" si="56"/>
        <v>625</v>
      </c>
      <c r="AF144" s="67">
        <f t="shared" si="56"/>
        <v>625</v>
      </c>
      <c r="AG144" s="67">
        <f t="shared" si="56"/>
        <v>625</v>
      </c>
      <c r="AH144" s="67">
        <f t="shared" si="56"/>
        <v>625</v>
      </c>
      <c r="AI144" s="67">
        <f t="shared" si="56"/>
        <v>625</v>
      </c>
      <c r="AJ144" s="67">
        <f t="shared" si="59"/>
        <v>625</v>
      </c>
      <c r="AK144" s="67">
        <f t="shared" si="60"/>
        <v>0</v>
      </c>
    </row>
    <row r="145" spans="1:37" ht="13.8" customHeight="1" x14ac:dyDescent="0.3">
      <c r="A145" s="50"/>
      <c r="B145" s="50"/>
      <c r="C145" s="50"/>
      <c r="D145" s="50"/>
      <c r="E145" s="50"/>
      <c r="F145" s="50"/>
      <c r="G145" s="50" t="s">
        <v>172</v>
      </c>
      <c r="H145" s="51">
        <v>187.95</v>
      </c>
      <c r="I145" s="51">
        <v>185.81</v>
      </c>
      <c r="J145" s="51">
        <v>187.35</v>
      </c>
      <c r="K145" s="51">
        <v>471.19</v>
      </c>
      <c r="L145" s="51">
        <v>36.840000000000003</v>
      </c>
      <c r="M145" s="51">
        <v>228.9</v>
      </c>
      <c r="N145" s="51">
        <v>0</v>
      </c>
      <c r="O145" s="51">
        <v>385.67</v>
      </c>
      <c r="P145" s="51">
        <v>484.47</v>
      </c>
      <c r="Q145" s="51">
        <v>184.32</v>
      </c>
      <c r="R145" s="51">
        <v>747.8</v>
      </c>
      <c r="S145" s="51">
        <v>185.81</v>
      </c>
      <c r="T145" s="51"/>
      <c r="U145" s="51">
        <f t="shared" si="55"/>
        <v>3286.11</v>
      </c>
      <c r="V145" s="67">
        <v>4000</v>
      </c>
      <c r="W145" s="67">
        <v>4800</v>
      </c>
      <c r="Y145" s="67">
        <f t="shared" si="56"/>
        <v>400</v>
      </c>
      <c r="Z145" s="67">
        <f t="shared" si="56"/>
        <v>400</v>
      </c>
      <c r="AA145" s="67">
        <f t="shared" si="56"/>
        <v>400</v>
      </c>
      <c r="AB145" s="67">
        <f t="shared" si="56"/>
        <v>400</v>
      </c>
      <c r="AC145" s="67">
        <f t="shared" si="56"/>
        <v>400</v>
      </c>
      <c r="AD145" s="67">
        <f t="shared" si="56"/>
        <v>400</v>
      </c>
      <c r="AE145" s="67">
        <f t="shared" si="56"/>
        <v>400</v>
      </c>
      <c r="AF145" s="67">
        <f t="shared" si="56"/>
        <v>400</v>
      </c>
      <c r="AG145" s="67">
        <f t="shared" si="56"/>
        <v>400</v>
      </c>
      <c r="AH145" s="67">
        <f t="shared" si="56"/>
        <v>400</v>
      </c>
      <c r="AI145" s="67">
        <f t="shared" si="56"/>
        <v>400</v>
      </c>
      <c r="AJ145" s="67">
        <f t="shared" si="59"/>
        <v>400</v>
      </c>
      <c r="AK145" s="67">
        <f t="shared" si="60"/>
        <v>0</v>
      </c>
    </row>
    <row r="146" spans="1:37" x14ac:dyDescent="0.3">
      <c r="A146" s="50"/>
      <c r="B146" s="50"/>
      <c r="C146" s="50"/>
      <c r="D146" s="50"/>
      <c r="E146" s="50"/>
      <c r="F146" s="50"/>
      <c r="G146" s="50" t="s">
        <v>173</v>
      </c>
      <c r="H146" s="51">
        <v>199.95</v>
      </c>
      <c r="I146" s="51">
        <v>764.87</v>
      </c>
      <c r="J146" s="51">
        <v>199.95</v>
      </c>
      <c r="K146" s="51">
        <v>1384.11</v>
      </c>
      <c r="L146" s="51">
        <v>471.42</v>
      </c>
      <c r="M146" s="51">
        <v>1236.1400000000001</v>
      </c>
      <c r="N146" s="51">
        <v>1269.6099999999999</v>
      </c>
      <c r="O146" s="51">
        <v>258.58</v>
      </c>
      <c r="P146" s="51">
        <v>2321.1999999999998</v>
      </c>
      <c r="Q146" s="51">
        <v>1105.0999999999999</v>
      </c>
      <c r="R146" s="51">
        <v>1284.1099999999999</v>
      </c>
      <c r="S146" s="51">
        <v>938.47</v>
      </c>
      <c r="T146" s="51"/>
      <c r="U146" s="51">
        <f t="shared" si="55"/>
        <v>11433.51</v>
      </c>
      <c r="V146" s="67">
        <v>13000</v>
      </c>
      <c r="W146" s="67">
        <v>13000</v>
      </c>
      <c r="Y146" s="67">
        <f t="shared" si="56"/>
        <v>1083</v>
      </c>
      <c r="Z146" s="67">
        <f t="shared" si="56"/>
        <v>1083</v>
      </c>
      <c r="AA146" s="67">
        <f t="shared" si="56"/>
        <v>1083</v>
      </c>
      <c r="AB146" s="67">
        <f t="shared" si="56"/>
        <v>1083</v>
      </c>
      <c r="AC146" s="67">
        <f t="shared" si="56"/>
        <v>1083</v>
      </c>
      <c r="AD146" s="67">
        <f t="shared" si="56"/>
        <v>1083</v>
      </c>
      <c r="AE146" s="67">
        <f t="shared" si="56"/>
        <v>1083</v>
      </c>
      <c r="AF146" s="67">
        <f t="shared" si="56"/>
        <v>1083</v>
      </c>
      <c r="AG146" s="67">
        <f t="shared" si="56"/>
        <v>1083</v>
      </c>
      <c r="AH146" s="67">
        <f t="shared" si="56"/>
        <v>1083</v>
      </c>
      <c r="AI146" s="67">
        <f t="shared" si="56"/>
        <v>1083</v>
      </c>
      <c r="AJ146" s="67">
        <f t="shared" si="59"/>
        <v>1087</v>
      </c>
      <c r="AK146" s="67">
        <f t="shared" si="60"/>
        <v>0</v>
      </c>
    </row>
    <row r="147" spans="1:37" ht="15" thickBot="1" x14ac:dyDescent="0.35">
      <c r="A147" s="50"/>
      <c r="B147" s="50"/>
      <c r="C147" s="50"/>
      <c r="D147" s="50"/>
      <c r="E147" s="50"/>
      <c r="F147" s="50"/>
      <c r="G147" s="50" t="s">
        <v>174</v>
      </c>
      <c r="H147" s="51">
        <v>2011.87</v>
      </c>
      <c r="I147" s="51">
        <v>0</v>
      </c>
      <c r="J147" s="51">
        <v>299.66000000000003</v>
      </c>
      <c r="K147" s="51">
        <v>1323.9</v>
      </c>
      <c r="L147" s="51">
        <v>45.99</v>
      </c>
      <c r="M147" s="51">
        <v>442.46</v>
      </c>
      <c r="N147" s="51">
        <v>0</v>
      </c>
      <c r="O147" s="51">
        <v>342.55</v>
      </c>
      <c r="P147" s="51">
        <v>0</v>
      </c>
      <c r="Q147" s="51">
        <v>60.42</v>
      </c>
      <c r="R147" s="51">
        <v>0</v>
      </c>
      <c r="S147" s="51">
        <v>11382.67</v>
      </c>
      <c r="T147" s="51"/>
      <c r="U147" s="51">
        <f t="shared" si="55"/>
        <v>15909.52</v>
      </c>
      <c r="V147" s="67">
        <v>8500</v>
      </c>
      <c r="W147" s="67">
        <v>8500</v>
      </c>
      <c r="Y147" s="67">
        <f t="shared" si="56"/>
        <v>708</v>
      </c>
      <c r="Z147" s="67">
        <f t="shared" si="56"/>
        <v>708</v>
      </c>
      <c r="AA147" s="67">
        <f t="shared" si="56"/>
        <v>708</v>
      </c>
      <c r="AB147" s="67">
        <f t="shared" si="56"/>
        <v>708</v>
      </c>
      <c r="AC147" s="67">
        <f t="shared" si="56"/>
        <v>708</v>
      </c>
      <c r="AD147" s="67">
        <f t="shared" si="56"/>
        <v>708</v>
      </c>
      <c r="AE147" s="67">
        <f t="shared" si="56"/>
        <v>708</v>
      </c>
      <c r="AF147" s="67">
        <f t="shared" si="56"/>
        <v>708</v>
      </c>
      <c r="AG147" s="67">
        <f t="shared" si="56"/>
        <v>708</v>
      </c>
      <c r="AH147" s="67">
        <f t="shared" si="56"/>
        <v>708</v>
      </c>
      <c r="AI147" s="67">
        <f t="shared" si="56"/>
        <v>708</v>
      </c>
      <c r="AJ147" s="67">
        <f t="shared" si="59"/>
        <v>712</v>
      </c>
      <c r="AK147" s="67">
        <f t="shared" si="60"/>
        <v>0</v>
      </c>
    </row>
    <row r="148" spans="1:37" ht="15" thickBot="1" x14ac:dyDescent="0.35">
      <c r="A148" s="50"/>
      <c r="B148" s="50"/>
      <c r="C148" s="50"/>
      <c r="D148" s="50"/>
      <c r="E148" s="50"/>
      <c r="F148" s="50" t="s">
        <v>175</v>
      </c>
      <c r="G148" s="50"/>
      <c r="H148" s="53">
        <f t="shared" ref="H148:S148" si="61">ROUND(SUM(H136:H147),5)</f>
        <v>8094.09</v>
      </c>
      <c r="I148" s="53">
        <f t="shared" si="61"/>
        <v>2457.6799999999998</v>
      </c>
      <c r="J148" s="53">
        <f t="shared" si="61"/>
        <v>2448.1799999999998</v>
      </c>
      <c r="K148" s="53">
        <f t="shared" si="61"/>
        <v>6534.68</v>
      </c>
      <c r="L148" s="53">
        <f t="shared" si="61"/>
        <v>5624.84</v>
      </c>
      <c r="M148" s="53">
        <f t="shared" si="61"/>
        <v>14605.83</v>
      </c>
      <c r="N148" s="53">
        <f t="shared" si="61"/>
        <v>4906.1000000000004</v>
      </c>
      <c r="O148" s="53">
        <f t="shared" si="61"/>
        <v>11390.6</v>
      </c>
      <c r="P148" s="53">
        <f t="shared" si="61"/>
        <v>4747.25</v>
      </c>
      <c r="Q148" s="53">
        <f t="shared" si="61"/>
        <v>4090.66</v>
      </c>
      <c r="R148" s="53">
        <f t="shared" si="61"/>
        <v>6791.66</v>
      </c>
      <c r="S148" s="53">
        <f t="shared" si="61"/>
        <v>15660.18</v>
      </c>
      <c r="T148" s="53"/>
      <c r="U148" s="53">
        <f t="shared" si="55"/>
        <v>87351.75</v>
      </c>
      <c r="V148" s="53">
        <f>ROUND(SUM(V136:V147),5)</f>
        <v>73400</v>
      </c>
      <c r="W148" s="53">
        <f>ROUND(SUM(W136:W147),5)</f>
        <v>82150</v>
      </c>
      <c r="Y148" s="53"/>
      <c r="Z148" s="53"/>
      <c r="AA148" s="53"/>
      <c r="AB148" s="53"/>
      <c r="AC148" s="53"/>
      <c r="AD148" s="53"/>
      <c r="AE148" s="53"/>
      <c r="AF148" s="53"/>
      <c r="AG148" s="53"/>
      <c r="AH148" s="53"/>
      <c r="AI148" s="53"/>
      <c r="AJ148" s="53"/>
      <c r="AK148" s="53"/>
    </row>
    <row r="149" spans="1:37" x14ac:dyDescent="0.3">
      <c r="A149" s="50"/>
      <c r="B149" s="50"/>
      <c r="C149" s="50"/>
      <c r="D149" s="50"/>
      <c r="E149" s="50" t="s">
        <v>176</v>
      </c>
      <c r="F149" s="50"/>
      <c r="G149" s="50"/>
      <c r="H149" s="51">
        <f t="shared" ref="H149:S149" si="62">ROUND(H72+H76+H124+H148,5)</f>
        <v>12924.06</v>
      </c>
      <c r="I149" s="51">
        <f t="shared" si="62"/>
        <v>11023.44</v>
      </c>
      <c r="J149" s="51">
        <f t="shared" si="62"/>
        <v>11741.11</v>
      </c>
      <c r="K149" s="51">
        <f t="shared" si="62"/>
        <v>25380.53</v>
      </c>
      <c r="L149" s="51">
        <f t="shared" si="62"/>
        <v>14068.64</v>
      </c>
      <c r="M149" s="51">
        <f t="shared" si="62"/>
        <v>23086.62</v>
      </c>
      <c r="N149" s="51">
        <f t="shared" si="62"/>
        <v>12862.43</v>
      </c>
      <c r="O149" s="51">
        <f t="shared" si="62"/>
        <v>16906.099999999999</v>
      </c>
      <c r="P149" s="51">
        <f t="shared" si="62"/>
        <v>11140.94</v>
      </c>
      <c r="Q149" s="51">
        <f t="shared" si="62"/>
        <v>11727.36</v>
      </c>
      <c r="R149" s="51">
        <f t="shared" si="62"/>
        <v>11613.56</v>
      </c>
      <c r="S149" s="51">
        <f t="shared" si="62"/>
        <v>25653.360000000001</v>
      </c>
      <c r="T149" s="51"/>
      <c r="U149" s="51">
        <f t="shared" si="55"/>
        <v>188128.15</v>
      </c>
      <c r="V149" s="51">
        <f>ROUND(V72+V76+V124+V148,5)</f>
        <v>255150</v>
      </c>
      <c r="W149" s="51">
        <f>ROUND(W72+W76+W124+W148,5)</f>
        <v>270500</v>
      </c>
      <c r="Y149" s="51"/>
      <c r="Z149" s="51"/>
      <c r="AA149" s="51"/>
      <c r="AB149" s="51"/>
      <c r="AC149" s="51"/>
      <c r="AD149" s="51"/>
      <c r="AE149" s="51"/>
      <c r="AF149" s="51"/>
      <c r="AG149" s="51"/>
      <c r="AH149" s="51"/>
      <c r="AI149" s="51"/>
      <c r="AJ149" s="51"/>
      <c r="AK149" s="51"/>
    </row>
    <row r="150" spans="1:37" x14ac:dyDescent="0.3">
      <c r="A150" s="50"/>
      <c r="B150" s="50"/>
      <c r="C150" s="50"/>
      <c r="D150" s="50"/>
      <c r="E150" s="50" t="s">
        <v>177</v>
      </c>
      <c r="F150" s="50"/>
      <c r="G150" s="50"/>
      <c r="H150" s="51"/>
      <c r="I150" s="51"/>
      <c r="J150" s="51"/>
      <c r="K150" s="51"/>
      <c r="L150" s="51"/>
      <c r="M150" s="51"/>
      <c r="N150" s="51"/>
      <c r="O150" s="51"/>
      <c r="P150" s="51"/>
      <c r="Q150" s="51"/>
      <c r="R150" s="51"/>
      <c r="S150" s="51"/>
      <c r="T150" s="51"/>
      <c r="U150" s="51"/>
      <c r="V150" s="51"/>
      <c r="W150" s="51"/>
      <c r="Y150" s="51"/>
      <c r="Z150" s="51"/>
      <c r="AA150" s="51"/>
      <c r="AB150" s="51"/>
      <c r="AC150" s="51"/>
      <c r="AD150" s="51"/>
      <c r="AE150" s="51"/>
      <c r="AF150" s="51"/>
      <c r="AG150" s="51"/>
      <c r="AH150" s="51"/>
      <c r="AI150" s="51"/>
      <c r="AJ150" s="51"/>
      <c r="AK150" s="51"/>
    </row>
    <row r="151" spans="1:37" x14ac:dyDescent="0.3">
      <c r="A151" s="50"/>
      <c r="B151" s="50"/>
      <c r="C151" s="50"/>
      <c r="D151" s="50"/>
      <c r="E151" s="50"/>
      <c r="F151" s="50" t="s">
        <v>178</v>
      </c>
      <c r="G151" s="50"/>
      <c r="H151" s="51"/>
      <c r="I151" s="51"/>
      <c r="J151" s="51"/>
      <c r="K151" s="51"/>
      <c r="L151" s="51"/>
      <c r="M151" s="51"/>
      <c r="N151" s="51"/>
      <c r="O151" s="51"/>
      <c r="P151" s="51"/>
      <c r="Q151" s="51"/>
      <c r="R151" s="51"/>
      <c r="S151" s="51"/>
      <c r="T151" s="51"/>
      <c r="U151" s="51"/>
      <c r="V151" s="51"/>
      <c r="W151" s="51"/>
      <c r="Y151" s="51"/>
      <c r="Z151" s="51"/>
      <c r="AA151" s="51"/>
      <c r="AB151" s="51"/>
      <c r="AC151" s="51"/>
      <c r="AD151" s="51"/>
      <c r="AE151" s="51"/>
      <c r="AF151" s="51"/>
      <c r="AG151" s="51"/>
      <c r="AH151" s="51"/>
      <c r="AI151" s="51"/>
      <c r="AJ151" s="51"/>
      <c r="AK151" s="51"/>
    </row>
    <row r="152" spans="1:37" ht="15" thickBot="1" x14ac:dyDescent="0.35">
      <c r="A152" s="50"/>
      <c r="B152" s="50"/>
      <c r="C152" s="50"/>
      <c r="D152" s="50"/>
      <c r="E152" s="50"/>
      <c r="F152" s="50"/>
      <c r="G152" s="50" t="s">
        <v>179</v>
      </c>
      <c r="H152" s="52">
        <v>0</v>
      </c>
      <c r="I152" s="52">
        <v>0</v>
      </c>
      <c r="J152" s="52">
        <v>0</v>
      </c>
      <c r="K152" s="52">
        <v>0</v>
      </c>
      <c r="L152" s="52">
        <v>0</v>
      </c>
      <c r="M152" s="52">
        <v>0</v>
      </c>
      <c r="N152" s="52">
        <v>0</v>
      </c>
      <c r="O152" s="52">
        <v>0</v>
      </c>
      <c r="P152" s="52">
        <v>0</v>
      </c>
      <c r="Q152" s="52">
        <v>0</v>
      </c>
      <c r="R152" s="52">
        <v>0</v>
      </c>
      <c r="S152" s="52">
        <v>48942.34</v>
      </c>
      <c r="T152" s="52"/>
      <c r="U152" s="52">
        <f>ROUND(SUM(H152:T152),5)</f>
        <v>48942.34</v>
      </c>
      <c r="V152" s="52">
        <v>0</v>
      </c>
      <c r="W152" s="52">
        <v>0</v>
      </c>
      <c r="X152" s="68" t="s">
        <v>205</v>
      </c>
      <c r="Y152" s="52"/>
      <c r="Z152" s="52"/>
      <c r="AA152" s="52"/>
      <c r="AB152" s="52"/>
      <c r="AC152" s="52"/>
      <c r="AD152" s="52"/>
      <c r="AE152" s="52"/>
      <c r="AF152" s="52"/>
      <c r="AG152" s="52"/>
      <c r="AH152" s="52"/>
      <c r="AI152" s="52"/>
      <c r="AJ152" s="52"/>
      <c r="AK152" s="52"/>
    </row>
    <row r="153" spans="1:37" x14ac:dyDescent="0.3">
      <c r="A153" s="50"/>
      <c r="B153" s="50"/>
      <c r="C153" s="50"/>
      <c r="D153" s="50"/>
      <c r="E153" s="50"/>
      <c r="F153" s="50" t="s">
        <v>180</v>
      </c>
      <c r="G153" s="50"/>
      <c r="H153" s="51">
        <f t="shared" ref="H153:P153" si="63">ROUND(SUM(H151:H152),5)</f>
        <v>0</v>
      </c>
      <c r="I153" s="51">
        <f t="shared" si="63"/>
        <v>0</v>
      </c>
      <c r="J153" s="51">
        <f t="shared" si="63"/>
        <v>0</v>
      </c>
      <c r="K153" s="51">
        <f t="shared" si="63"/>
        <v>0</v>
      </c>
      <c r="L153" s="51">
        <f t="shared" si="63"/>
        <v>0</v>
      </c>
      <c r="M153" s="51">
        <f t="shared" si="63"/>
        <v>0</v>
      </c>
      <c r="N153" s="51">
        <f t="shared" si="63"/>
        <v>0</v>
      </c>
      <c r="O153" s="51">
        <f t="shared" si="63"/>
        <v>0</v>
      </c>
      <c r="P153" s="51">
        <f t="shared" si="63"/>
        <v>0</v>
      </c>
      <c r="Q153" s="51">
        <f>ROUND(SUM(Q151:Q152),5)</f>
        <v>0</v>
      </c>
      <c r="R153" s="51">
        <f>ROUND(SUM(R151:R152),5)</f>
        <v>0</v>
      </c>
      <c r="S153" s="51">
        <f>ROUND(SUM(S151:S152),5)</f>
        <v>48942.34</v>
      </c>
      <c r="T153" s="51"/>
      <c r="U153" s="51">
        <f>ROUND(SUM(H153:T153),5)</f>
        <v>48942.34</v>
      </c>
      <c r="V153" s="51">
        <f>ROUND(SUM(V151:V152),5)</f>
        <v>0</v>
      </c>
      <c r="W153" s="51">
        <f>ROUND(SUM(W151:W152),5)</f>
        <v>0</v>
      </c>
      <c r="Y153" s="51"/>
      <c r="Z153" s="51"/>
      <c r="AA153" s="51"/>
      <c r="AB153" s="51"/>
      <c r="AC153" s="51"/>
      <c r="AD153" s="51"/>
      <c r="AE153" s="51"/>
      <c r="AF153" s="51"/>
      <c r="AG153" s="51"/>
      <c r="AH153" s="51"/>
      <c r="AI153" s="51"/>
      <c r="AJ153" s="51"/>
      <c r="AK153" s="51"/>
    </row>
    <row r="154" spans="1:37" ht="15" thickBot="1" x14ac:dyDescent="0.35">
      <c r="A154" s="50"/>
      <c r="B154" s="50"/>
      <c r="C154" s="50"/>
      <c r="D154" s="50"/>
      <c r="E154" s="50"/>
      <c r="F154" s="50" t="s">
        <v>181</v>
      </c>
      <c r="G154" s="50"/>
      <c r="H154" s="52">
        <v>342.65</v>
      </c>
      <c r="I154" s="52">
        <v>153.12</v>
      </c>
      <c r="J154" s="52">
        <v>0</v>
      </c>
      <c r="K154" s="52">
        <v>299.86</v>
      </c>
      <c r="L154" s="52">
        <v>306.24</v>
      </c>
      <c r="M154" s="52">
        <v>542.07000000000005</v>
      </c>
      <c r="N154" s="52">
        <v>-96.88</v>
      </c>
      <c r="O154" s="52">
        <v>0</v>
      </c>
      <c r="P154" s="52">
        <v>243.32</v>
      </c>
      <c r="Q154" s="52">
        <v>606.1</v>
      </c>
      <c r="R154" s="52">
        <v>-5</v>
      </c>
      <c r="S154" s="52">
        <v>400</v>
      </c>
      <c r="T154" s="52"/>
      <c r="U154" s="52">
        <f>ROUND(SUM(H154:T154),5)</f>
        <v>2791.48</v>
      </c>
      <c r="V154" s="52">
        <v>4000</v>
      </c>
      <c r="W154" s="52">
        <v>4000</v>
      </c>
      <c r="Y154" s="52">
        <f t="shared" ref="Y154:AI154" si="64">ROUND($W154/12,0)</f>
        <v>333</v>
      </c>
      <c r="Z154" s="52">
        <f t="shared" si="64"/>
        <v>333</v>
      </c>
      <c r="AA154" s="52">
        <f t="shared" si="64"/>
        <v>333</v>
      </c>
      <c r="AB154" s="52">
        <f t="shared" si="64"/>
        <v>333</v>
      </c>
      <c r="AC154" s="52">
        <f t="shared" si="64"/>
        <v>333</v>
      </c>
      <c r="AD154" s="52">
        <f t="shared" si="64"/>
        <v>333</v>
      </c>
      <c r="AE154" s="52">
        <f t="shared" si="64"/>
        <v>333</v>
      </c>
      <c r="AF154" s="52">
        <f t="shared" si="64"/>
        <v>333</v>
      </c>
      <c r="AG154" s="52">
        <f t="shared" si="64"/>
        <v>333</v>
      </c>
      <c r="AH154" s="52">
        <f t="shared" si="64"/>
        <v>333</v>
      </c>
      <c r="AI154" s="52">
        <f t="shared" si="64"/>
        <v>333</v>
      </c>
      <c r="AJ154" s="52">
        <f t="shared" ref="AJ154" si="65">W154-Y154-Z154-AA154-AB154-AC154-AD154-AE154-AF154-AG154-AH154-AI154</f>
        <v>337</v>
      </c>
      <c r="AK154" s="52">
        <f t="shared" ref="AK154" si="66">SUM(Y154:AJ154)-W154</f>
        <v>0</v>
      </c>
    </row>
    <row r="155" spans="1:37" x14ac:dyDescent="0.3">
      <c r="A155" s="50"/>
      <c r="B155" s="50"/>
      <c r="C155" s="50"/>
      <c r="D155" s="50"/>
      <c r="E155" s="50" t="s">
        <v>182</v>
      </c>
      <c r="F155" s="50"/>
      <c r="G155" s="50"/>
      <c r="H155" s="51">
        <f t="shared" ref="H155:P155" si="67">ROUND(H150+SUM(H153:H154),5)</f>
        <v>342.65</v>
      </c>
      <c r="I155" s="51">
        <f t="shared" si="67"/>
        <v>153.12</v>
      </c>
      <c r="J155" s="51">
        <f t="shared" si="67"/>
        <v>0</v>
      </c>
      <c r="K155" s="51">
        <f t="shared" si="67"/>
        <v>299.86</v>
      </c>
      <c r="L155" s="51">
        <f t="shared" si="67"/>
        <v>306.24</v>
      </c>
      <c r="M155" s="51">
        <f t="shared" si="67"/>
        <v>542.07000000000005</v>
      </c>
      <c r="N155" s="51">
        <f t="shared" si="67"/>
        <v>-96.88</v>
      </c>
      <c r="O155" s="51">
        <f t="shared" si="67"/>
        <v>0</v>
      </c>
      <c r="P155" s="51">
        <f t="shared" si="67"/>
        <v>243.32</v>
      </c>
      <c r="Q155" s="51">
        <f>ROUND(Q150+SUM(Q153:Q154),5)</f>
        <v>606.1</v>
      </c>
      <c r="R155" s="51">
        <f>ROUND(R150+SUM(R153:R154),5)</f>
        <v>-5</v>
      </c>
      <c r="S155" s="51">
        <f>ROUND(S150+SUM(S153:S154),5)</f>
        <v>49342.34</v>
      </c>
      <c r="T155" s="51"/>
      <c r="U155" s="51">
        <f>ROUND(SUM(H155:T155),5)</f>
        <v>51733.82</v>
      </c>
      <c r="V155" s="51">
        <f>ROUND(V150+SUM(V153:V154),5)</f>
        <v>4000</v>
      </c>
      <c r="W155" s="51">
        <f>ROUND(W150+SUM(W153:W154),5)</f>
        <v>4000</v>
      </c>
      <c r="Y155" s="51"/>
      <c r="Z155" s="51"/>
      <c r="AA155" s="51"/>
      <c r="AB155" s="51"/>
      <c r="AC155" s="51"/>
      <c r="AD155" s="51"/>
      <c r="AE155" s="51"/>
      <c r="AF155" s="51"/>
      <c r="AG155" s="51"/>
      <c r="AH155" s="51"/>
      <c r="AI155" s="51"/>
      <c r="AJ155" s="51"/>
      <c r="AK155" s="51"/>
    </row>
    <row r="156" spans="1:37" x14ac:dyDescent="0.3">
      <c r="A156" s="50"/>
      <c r="B156" s="50"/>
      <c r="C156" s="50"/>
      <c r="D156" s="50"/>
      <c r="E156" s="50" t="s">
        <v>183</v>
      </c>
      <c r="F156" s="50"/>
      <c r="G156" s="50"/>
      <c r="H156" s="51"/>
      <c r="I156" s="51"/>
      <c r="J156" s="51"/>
      <c r="K156" s="51"/>
      <c r="L156" s="51"/>
      <c r="M156" s="51"/>
      <c r="N156" s="51"/>
      <c r="O156" s="51"/>
      <c r="P156" s="51"/>
      <c r="Q156" s="51"/>
      <c r="R156" s="51"/>
      <c r="S156" s="51"/>
      <c r="T156" s="51"/>
      <c r="U156" s="51"/>
      <c r="V156" s="51"/>
      <c r="W156" s="51"/>
      <c r="Y156" s="51"/>
      <c r="Z156" s="51"/>
      <c r="AA156" s="51"/>
      <c r="AB156" s="51"/>
      <c r="AC156" s="51"/>
      <c r="AD156" s="51"/>
      <c r="AE156" s="51"/>
      <c r="AF156" s="51"/>
      <c r="AG156" s="51"/>
      <c r="AH156" s="51"/>
      <c r="AI156" s="51"/>
      <c r="AJ156" s="51"/>
      <c r="AK156" s="51"/>
    </row>
    <row r="157" spans="1:37" x14ac:dyDescent="0.3">
      <c r="A157" s="50"/>
      <c r="B157" s="50"/>
      <c r="C157" s="50"/>
      <c r="D157" s="50"/>
      <c r="E157" s="50"/>
      <c r="F157" s="50" t="s">
        <v>184</v>
      </c>
      <c r="G157" s="50"/>
      <c r="H157" s="51"/>
      <c r="I157" s="51"/>
      <c r="J157" s="51"/>
      <c r="K157" s="51"/>
      <c r="L157" s="51"/>
      <c r="M157" s="51"/>
      <c r="N157" s="51"/>
      <c r="O157" s="51"/>
      <c r="P157" s="51"/>
      <c r="Q157" s="51"/>
      <c r="R157" s="51"/>
      <c r="S157" s="51"/>
      <c r="T157" s="51"/>
      <c r="U157" s="51"/>
      <c r="V157" s="51"/>
      <c r="W157" s="51"/>
      <c r="Y157" s="51"/>
      <c r="Z157" s="51"/>
      <c r="AA157" s="51"/>
      <c r="AB157" s="51"/>
      <c r="AC157" s="51"/>
      <c r="AD157" s="51"/>
      <c r="AE157" s="51"/>
      <c r="AF157" s="51"/>
      <c r="AG157" s="51"/>
      <c r="AH157" s="51"/>
      <c r="AI157" s="51"/>
      <c r="AJ157" s="51"/>
      <c r="AK157" s="51"/>
    </row>
    <row r="158" spans="1:37" x14ac:dyDescent="0.3">
      <c r="A158" s="50"/>
      <c r="B158" s="50"/>
      <c r="C158" s="50"/>
      <c r="D158" s="50"/>
      <c r="E158" s="50"/>
      <c r="F158" s="50"/>
      <c r="G158" s="50" t="s">
        <v>201</v>
      </c>
      <c r="H158" s="51">
        <v>0</v>
      </c>
      <c r="I158" s="51">
        <v>0</v>
      </c>
      <c r="J158" s="51">
        <v>0</v>
      </c>
      <c r="K158" s="51">
        <v>0</v>
      </c>
      <c r="L158" s="51">
        <v>0</v>
      </c>
      <c r="M158" s="51">
        <v>0</v>
      </c>
      <c r="N158" s="51">
        <v>0</v>
      </c>
      <c r="O158" s="51">
        <v>0</v>
      </c>
      <c r="P158" s="51">
        <v>0</v>
      </c>
      <c r="Q158" s="51">
        <v>0</v>
      </c>
      <c r="R158" s="51">
        <v>0</v>
      </c>
      <c r="S158" s="51">
        <v>0</v>
      </c>
      <c r="T158" s="51"/>
      <c r="U158" s="51">
        <v>0</v>
      </c>
      <c r="V158" s="67">
        <v>100000</v>
      </c>
      <c r="W158" s="67">
        <v>100000</v>
      </c>
      <c r="Y158" s="67">
        <f t="shared" ref="Y158:AI161" si="68">ROUND($W158/12,0)</f>
        <v>8333</v>
      </c>
      <c r="Z158" s="67">
        <f t="shared" si="68"/>
        <v>8333</v>
      </c>
      <c r="AA158" s="67">
        <f t="shared" si="68"/>
        <v>8333</v>
      </c>
      <c r="AB158" s="67">
        <f t="shared" si="68"/>
        <v>8333</v>
      </c>
      <c r="AC158" s="67">
        <f t="shared" si="68"/>
        <v>8333</v>
      </c>
      <c r="AD158" s="67">
        <f t="shared" si="68"/>
        <v>8333</v>
      </c>
      <c r="AE158" s="67">
        <f t="shared" si="68"/>
        <v>8333</v>
      </c>
      <c r="AF158" s="67">
        <f t="shared" si="68"/>
        <v>8333</v>
      </c>
      <c r="AG158" s="67">
        <f t="shared" si="68"/>
        <v>8333</v>
      </c>
      <c r="AH158" s="67">
        <f t="shared" si="68"/>
        <v>8333</v>
      </c>
      <c r="AI158" s="67">
        <f t="shared" si="68"/>
        <v>8333</v>
      </c>
      <c r="AJ158" s="67">
        <f t="shared" ref="AJ158:AJ161" si="69">W158-Y158-Z158-AA158-AB158-AC158-AD158-AE158-AF158-AG158-AH158-AI158</f>
        <v>8337</v>
      </c>
      <c r="AK158" s="67">
        <f t="shared" ref="AK158:AK161" si="70">SUM(Y158:AJ158)-W158</f>
        <v>0</v>
      </c>
    </row>
    <row r="159" spans="1:37" x14ac:dyDescent="0.3">
      <c r="A159" s="50"/>
      <c r="B159" s="50"/>
      <c r="C159" s="50"/>
      <c r="D159" s="50"/>
      <c r="E159" s="50"/>
      <c r="F159" s="50"/>
      <c r="G159" s="50" t="s">
        <v>202</v>
      </c>
      <c r="H159" s="51">
        <v>0</v>
      </c>
      <c r="I159" s="51">
        <v>0</v>
      </c>
      <c r="J159" s="51">
        <v>0</v>
      </c>
      <c r="K159" s="51">
        <v>0</v>
      </c>
      <c r="L159" s="51">
        <v>0</v>
      </c>
      <c r="M159" s="51">
        <v>0</v>
      </c>
      <c r="N159" s="51">
        <v>0</v>
      </c>
      <c r="O159" s="51">
        <v>1900</v>
      </c>
      <c r="P159" s="51">
        <v>0</v>
      </c>
      <c r="Q159" s="51">
        <v>0</v>
      </c>
      <c r="R159" s="51">
        <v>0</v>
      </c>
      <c r="S159" s="51">
        <v>0</v>
      </c>
      <c r="T159" s="51"/>
      <c r="U159" s="51">
        <f>ROUND(SUM(H159:T159),5)</f>
        <v>1900</v>
      </c>
      <c r="V159" s="67">
        <v>6000</v>
      </c>
      <c r="W159" s="67">
        <v>6000</v>
      </c>
      <c r="Y159" s="67">
        <f t="shared" si="68"/>
        <v>500</v>
      </c>
      <c r="Z159" s="67">
        <f t="shared" si="68"/>
        <v>500</v>
      </c>
      <c r="AA159" s="67">
        <f t="shared" si="68"/>
        <v>500</v>
      </c>
      <c r="AB159" s="67">
        <f t="shared" si="68"/>
        <v>500</v>
      </c>
      <c r="AC159" s="67">
        <f t="shared" si="68"/>
        <v>500</v>
      </c>
      <c r="AD159" s="67">
        <f t="shared" si="68"/>
        <v>500</v>
      </c>
      <c r="AE159" s="67">
        <f t="shared" si="68"/>
        <v>500</v>
      </c>
      <c r="AF159" s="67">
        <f t="shared" si="68"/>
        <v>500</v>
      </c>
      <c r="AG159" s="67">
        <f t="shared" si="68"/>
        <v>500</v>
      </c>
      <c r="AH159" s="67">
        <f t="shared" si="68"/>
        <v>500</v>
      </c>
      <c r="AI159" s="67">
        <f t="shared" si="68"/>
        <v>500</v>
      </c>
      <c r="AJ159" s="67">
        <f t="shared" si="69"/>
        <v>500</v>
      </c>
      <c r="AK159" s="67">
        <f t="shared" si="70"/>
        <v>0</v>
      </c>
    </row>
    <row r="160" spans="1:37" x14ac:dyDescent="0.3">
      <c r="A160" s="50"/>
      <c r="B160" s="50"/>
      <c r="C160" s="50"/>
      <c r="D160" s="50"/>
      <c r="E160" s="50"/>
      <c r="F160" s="50"/>
      <c r="G160" s="50" t="s">
        <v>185</v>
      </c>
      <c r="H160" s="51">
        <v>0</v>
      </c>
      <c r="I160" s="51">
        <v>0</v>
      </c>
      <c r="J160" s="51">
        <v>0</v>
      </c>
      <c r="K160" s="51">
        <v>0</v>
      </c>
      <c r="L160" s="51">
        <v>0</v>
      </c>
      <c r="M160" s="51">
        <v>0</v>
      </c>
      <c r="N160" s="51">
        <v>0</v>
      </c>
      <c r="O160" s="51">
        <v>0</v>
      </c>
      <c r="P160" s="51">
        <v>0</v>
      </c>
      <c r="Q160" s="51">
        <v>0</v>
      </c>
      <c r="R160" s="51">
        <v>0</v>
      </c>
      <c r="S160" s="51">
        <v>0</v>
      </c>
      <c r="T160" s="51"/>
      <c r="U160" s="51">
        <v>0</v>
      </c>
      <c r="V160" s="67">
        <v>7500</v>
      </c>
      <c r="W160" s="67">
        <v>7500</v>
      </c>
      <c r="Y160" s="67">
        <f t="shared" si="68"/>
        <v>625</v>
      </c>
      <c r="Z160" s="67">
        <f t="shared" si="68"/>
        <v>625</v>
      </c>
      <c r="AA160" s="67">
        <f t="shared" si="68"/>
        <v>625</v>
      </c>
      <c r="AB160" s="67">
        <f t="shared" si="68"/>
        <v>625</v>
      </c>
      <c r="AC160" s="67">
        <f t="shared" si="68"/>
        <v>625</v>
      </c>
      <c r="AD160" s="67">
        <f t="shared" si="68"/>
        <v>625</v>
      </c>
      <c r="AE160" s="67">
        <f t="shared" si="68"/>
        <v>625</v>
      </c>
      <c r="AF160" s="67">
        <f t="shared" si="68"/>
        <v>625</v>
      </c>
      <c r="AG160" s="67">
        <f t="shared" si="68"/>
        <v>625</v>
      </c>
      <c r="AH160" s="67">
        <f t="shared" si="68"/>
        <v>625</v>
      </c>
      <c r="AI160" s="67">
        <f t="shared" si="68"/>
        <v>625</v>
      </c>
      <c r="AJ160" s="67">
        <f t="shared" si="69"/>
        <v>625</v>
      </c>
      <c r="AK160" s="67">
        <f t="shared" si="70"/>
        <v>0</v>
      </c>
    </row>
    <row r="161" spans="1:37" ht="15" thickBot="1" x14ac:dyDescent="0.35">
      <c r="A161" s="50"/>
      <c r="B161" s="50"/>
      <c r="C161" s="50"/>
      <c r="D161" s="50"/>
      <c r="E161" s="50"/>
      <c r="F161" s="50"/>
      <c r="G161" s="50" t="s">
        <v>239</v>
      </c>
      <c r="H161" s="51">
        <v>0</v>
      </c>
      <c r="I161" s="51">
        <v>0</v>
      </c>
      <c r="J161" s="51">
        <v>0</v>
      </c>
      <c r="K161" s="51">
        <v>0</v>
      </c>
      <c r="L161" s="51">
        <v>0</v>
      </c>
      <c r="M161" s="51">
        <v>0</v>
      </c>
      <c r="N161" s="51">
        <v>0</v>
      </c>
      <c r="O161" s="51">
        <v>0</v>
      </c>
      <c r="P161" s="51">
        <v>0</v>
      </c>
      <c r="Q161" s="51">
        <v>0</v>
      </c>
      <c r="R161" s="51">
        <v>0</v>
      </c>
      <c r="S161" s="51">
        <v>0</v>
      </c>
      <c r="T161" s="51"/>
      <c r="U161" s="51">
        <v>0</v>
      </c>
      <c r="V161" s="67">
        <v>6000</v>
      </c>
      <c r="W161" s="67">
        <v>6000</v>
      </c>
      <c r="Y161" s="67">
        <f t="shared" si="68"/>
        <v>500</v>
      </c>
      <c r="Z161" s="67">
        <f t="shared" si="68"/>
        <v>500</v>
      </c>
      <c r="AA161" s="67">
        <f t="shared" si="68"/>
        <v>500</v>
      </c>
      <c r="AB161" s="67">
        <f t="shared" si="68"/>
        <v>500</v>
      </c>
      <c r="AC161" s="67">
        <f t="shared" si="68"/>
        <v>500</v>
      </c>
      <c r="AD161" s="67">
        <f t="shared" si="68"/>
        <v>500</v>
      </c>
      <c r="AE161" s="67">
        <f t="shared" si="68"/>
        <v>500</v>
      </c>
      <c r="AF161" s="67">
        <f t="shared" si="68"/>
        <v>500</v>
      </c>
      <c r="AG161" s="67">
        <f t="shared" si="68"/>
        <v>500</v>
      </c>
      <c r="AH161" s="67">
        <f t="shared" si="68"/>
        <v>500</v>
      </c>
      <c r="AI161" s="67">
        <f t="shared" si="68"/>
        <v>500</v>
      </c>
      <c r="AJ161" s="67">
        <f t="shared" si="69"/>
        <v>500</v>
      </c>
      <c r="AK161" s="67">
        <f t="shared" si="70"/>
        <v>0</v>
      </c>
    </row>
    <row r="162" spans="1:37" ht="15" thickBot="1" x14ac:dyDescent="0.35">
      <c r="A162" s="50"/>
      <c r="B162" s="50"/>
      <c r="C162" s="50"/>
      <c r="D162" s="50"/>
      <c r="E162" s="50"/>
      <c r="F162" s="50" t="s">
        <v>186</v>
      </c>
      <c r="G162" s="50"/>
      <c r="H162" s="53">
        <f t="shared" ref="H162:S162" si="71">ROUND(SUM(H157:H159),5)</f>
        <v>0</v>
      </c>
      <c r="I162" s="53">
        <f t="shared" si="71"/>
        <v>0</v>
      </c>
      <c r="J162" s="53">
        <f t="shared" si="71"/>
        <v>0</v>
      </c>
      <c r="K162" s="53">
        <f t="shared" si="71"/>
        <v>0</v>
      </c>
      <c r="L162" s="53">
        <f t="shared" si="71"/>
        <v>0</v>
      </c>
      <c r="M162" s="53">
        <f t="shared" si="71"/>
        <v>0</v>
      </c>
      <c r="N162" s="53">
        <f t="shared" si="71"/>
        <v>0</v>
      </c>
      <c r="O162" s="53">
        <f t="shared" si="71"/>
        <v>1900</v>
      </c>
      <c r="P162" s="53">
        <f t="shared" si="71"/>
        <v>0</v>
      </c>
      <c r="Q162" s="53">
        <f t="shared" si="71"/>
        <v>0</v>
      </c>
      <c r="R162" s="53">
        <f t="shared" si="71"/>
        <v>0</v>
      </c>
      <c r="S162" s="53">
        <f t="shared" si="71"/>
        <v>0</v>
      </c>
      <c r="T162" s="53"/>
      <c r="U162" s="53">
        <f>ROUND(SUM(H162:T162),5)</f>
        <v>1900</v>
      </c>
      <c r="V162" s="53">
        <f>ROUND(SUM(V157:V161),5)</f>
        <v>119500</v>
      </c>
      <c r="W162" s="53">
        <f>ROUND(SUM(W157:W161),5)</f>
        <v>119500</v>
      </c>
      <c r="Y162" s="53"/>
      <c r="Z162" s="53"/>
      <c r="AA162" s="53"/>
      <c r="AB162" s="53"/>
      <c r="AC162" s="53"/>
      <c r="AD162" s="53"/>
      <c r="AE162" s="53"/>
      <c r="AF162" s="53"/>
      <c r="AG162" s="53"/>
      <c r="AH162" s="53"/>
      <c r="AI162" s="53"/>
      <c r="AJ162" s="53"/>
      <c r="AK162" s="53"/>
    </row>
    <row r="163" spans="1:37" x14ac:dyDescent="0.3">
      <c r="A163" s="50"/>
      <c r="B163" s="50"/>
      <c r="C163" s="50"/>
      <c r="D163" s="50"/>
      <c r="E163" s="50"/>
      <c r="F163" s="50" t="s">
        <v>187</v>
      </c>
      <c r="G163" s="50"/>
      <c r="H163" s="51"/>
      <c r="I163" s="51"/>
      <c r="J163" s="51"/>
      <c r="K163" s="51"/>
      <c r="L163" s="51"/>
      <c r="M163" s="51"/>
      <c r="N163" s="51"/>
      <c r="O163" s="51"/>
      <c r="P163" s="51"/>
      <c r="Q163" s="51"/>
      <c r="R163" s="51"/>
      <c r="S163" s="51"/>
      <c r="T163" s="51"/>
      <c r="U163" s="51"/>
      <c r="V163" s="51"/>
      <c r="W163" s="51"/>
      <c r="Y163" s="51"/>
      <c r="Z163" s="51"/>
      <c r="AA163" s="51"/>
      <c r="AB163" s="51"/>
      <c r="AC163" s="51"/>
      <c r="AD163" s="51"/>
      <c r="AE163" s="51"/>
      <c r="AF163" s="51"/>
      <c r="AG163" s="51"/>
      <c r="AH163" s="51"/>
      <c r="AI163" s="51"/>
      <c r="AJ163" s="51"/>
      <c r="AK163" s="51"/>
    </row>
    <row r="164" spans="1:37" ht="15" thickBot="1" x14ac:dyDescent="0.35">
      <c r="A164" s="50"/>
      <c r="B164" s="50"/>
      <c r="C164" s="50"/>
      <c r="D164" s="50"/>
      <c r="E164" s="50"/>
      <c r="F164" s="50"/>
      <c r="G164" s="50" t="s">
        <v>188</v>
      </c>
      <c r="H164" s="52">
        <v>6935</v>
      </c>
      <c r="I164" s="52">
        <v>1357</v>
      </c>
      <c r="J164" s="52">
        <v>0</v>
      </c>
      <c r="K164" s="52">
        <v>0</v>
      </c>
      <c r="L164" s="52">
        <v>0</v>
      </c>
      <c r="M164" s="52">
        <v>0</v>
      </c>
      <c r="N164" s="52">
        <v>0</v>
      </c>
      <c r="O164" s="52">
        <v>0</v>
      </c>
      <c r="P164" s="52">
        <v>355787.84</v>
      </c>
      <c r="Q164" s="52">
        <v>9486.81</v>
      </c>
      <c r="R164" s="52">
        <v>261853.25</v>
      </c>
      <c r="S164" s="52">
        <v>350000</v>
      </c>
      <c r="T164" s="52"/>
      <c r="U164" s="52">
        <f>ROUND(SUM(H164:T164),5)</f>
        <v>985419.9</v>
      </c>
      <c r="V164" s="52">
        <v>150000</v>
      </c>
      <c r="W164" s="114">
        <v>1600000</v>
      </c>
      <c r="X164" s="68" t="s">
        <v>298</v>
      </c>
      <c r="Y164" s="114">
        <f t="shared" ref="Y164:AI164" si="72">ROUND($W164/12,0)</f>
        <v>133333</v>
      </c>
      <c r="Z164" s="114">
        <f t="shared" si="72"/>
        <v>133333</v>
      </c>
      <c r="AA164" s="114">
        <f t="shared" si="72"/>
        <v>133333</v>
      </c>
      <c r="AB164" s="114">
        <f t="shared" si="72"/>
        <v>133333</v>
      </c>
      <c r="AC164" s="114">
        <f t="shared" si="72"/>
        <v>133333</v>
      </c>
      <c r="AD164" s="114">
        <f t="shared" si="72"/>
        <v>133333</v>
      </c>
      <c r="AE164" s="114">
        <f t="shared" si="72"/>
        <v>133333</v>
      </c>
      <c r="AF164" s="114">
        <f t="shared" si="72"/>
        <v>133333</v>
      </c>
      <c r="AG164" s="114">
        <f t="shared" si="72"/>
        <v>133333</v>
      </c>
      <c r="AH164" s="114">
        <f t="shared" si="72"/>
        <v>133333</v>
      </c>
      <c r="AI164" s="114">
        <f t="shared" si="72"/>
        <v>133333</v>
      </c>
      <c r="AJ164" s="114">
        <f t="shared" ref="AJ164" si="73">W164-Y164-Z164-AA164-AB164-AC164-AD164-AE164-AF164-AG164-AH164-AI164</f>
        <v>133337</v>
      </c>
      <c r="AK164" s="114">
        <f t="shared" ref="AK164" si="74">SUM(Y164:AJ164)-W164</f>
        <v>0</v>
      </c>
    </row>
    <row r="165" spans="1:37" x14ac:dyDescent="0.3">
      <c r="A165" s="50"/>
      <c r="B165" s="50"/>
      <c r="C165" s="50"/>
      <c r="D165" s="50"/>
      <c r="E165" s="50"/>
      <c r="F165" s="50" t="s">
        <v>189</v>
      </c>
      <c r="G165" s="50"/>
      <c r="H165" s="51">
        <f t="shared" ref="H165:P165" si="75">ROUND(SUM(H163:H164),5)</f>
        <v>6935</v>
      </c>
      <c r="I165" s="51">
        <f t="shared" si="75"/>
        <v>1357</v>
      </c>
      <c r="J165" s="51">
        <f t="shared" si="75"/>
        <v>0</v>
      </c>
      <c r="K165" s="51">
        <f t="shared" si="75"/>
        <v>0</v>
      </c>
      <c r="L165" s="51">
        <f t="shared" si="75"/>
        <v>0</v>
      </c>
      <c r="M165" s="51">
        <f t="shared" si="75"/>
        <v>0</v>
      </c>
      <c r="N165" s="51">
        <f t="shared" si="75"/>
        <v>0</v>
      </c>
      <c r="O165" s="51">
        <f t="shared" si="75"/>
        <v>0</v>
      </c>
      <c r="P165" s="51">
        <f t="shared" si="75"/>
        <v>355787.84</v>
      </c>
      <c r="Q165" s="51">
        <f>ROUND(SUM(Q163:Q164),5)</f>
        <v>9486.81</v>
      </c>
      <c r="R165" s="51">
        <f>ROUND(SUM(R163:R164),5)</f>
        <v>261853.25</v>
      </c>
      <c r="S165" s="51">
        <f>ROUND(SUM(S163:S164),5)</f>
        <v>350000</v>
      </c>
      <c r="T165" s="51"/>
      <c r="U165" s="51">
        <f>ROUND(SUM(H165:T165),5)</f>
        <v>985419.9</v>
      </c>
      <c r="V165" s="51">
        <f>ROUND(SUM(V163:V164),5)</f>
        <v>150000</v>
      </c>
      <c r="W165" s="51">
        <f>ROUND(SUM(W163:W164),5)</f>
        <v>1600000</v>
      </c>
      <c r="Y165" s="51"/>
      <c r="Z165" s="51"/>
      <c r="AA165" s="51"/>
      <c r="AB165" s="51"/>
      <c r="AC165" s="51"/>
      <c r="AD165" s="51"/>
      <c r="AE165" s="51"/>
      <c r="AF165" s="51"/>
      <c r="AG165" s="51"/>
      <c r="AH165" s="51"/>
      <c r="AI165" s="51"/>
      <c r="AJ165" s="51"/>
      <c r="AK165" s="51"/>
    </row>
    <row r="166" spans="1:37" x14ac:dyDescent="0.3">
      <c r="A166" s="50"/>
      <c r="B166" s="50"/>
      <c r="C166" s="50"/>
      <c r="D166" s="50"/>
      <c r="E166" s="50"/>
      <c r="F166" s="50" t="s">
        <v>190</v>
      </c>
      <c r="G166" s="50"/>
      <c r="H166" s="51"/>
      <c r="I166" s="51"/>
      <c r="J166" s="51"/>
      <c r="K166" s="51"/>
      <c r="L166" s="51"/>
      <c r="M166" s="51"/>
      <c r="N166" s="51"/>
      <c r="O166" s="51"/>
      <c r="P166" s="51"/>
      <c r="Q166" s="51"/>
      <c r="R166" s="51"/>
      <c r="S166" s="51"/>
      <c r="T166" s="51"/>
      <c r="U166" s="51"/>
      <c r="V166" s="51"/>
      <c r="W166" s="51"/>
      <c r="Y166" s="51"/>
      <c r="Z166" s="51"/>
      <c r="AA166" s="51"/>
      <c r="AB166" s="51"/>
      <c r="AC166" s="51"/>
      <c r="AD166" s="51"/>
      <c r="AE166" s="51"/>
      <c r="AF166" s="51"/>
      <c r="AG166" s="51"/>
      <c r="AH166" s="51"/>
      <c r="AI166" s="51"/>
      <c r="AJ166" s="51"/>
      <c r="AK166" s="51"/>
    </row>
    <row r="167" spans="1:37" x14ac:dyDescent="0.3">
      <c r="A167" s="50"/>
      <c r="B167" s="50"/>
      <c r="C167" s="50"/>
      <c r="D167" s="50"/>
      <c r="E167" s="50"/>
      <c r="F167" s="50"/>
      <c r="G167" s="50" t="s">
        <v>191</v>
      </c>
      <c r="H167" s="51">
        <v>0</v>
      </c>
      <c r="I167" s="51">
        <v>0</v>
      </c>
      <c r="J167" s="51">
        <v>0</v>
      </c>
      <c r="K167" s="51">
        <v>0</v>
      </c>
      <c r="L167" s="51">
        <v>0</v>
      </c>
      <c r="M167" s="51">
        <v>0</v>
      </c>
      <c r="N167" s="51">
        <v>0</v>
      </c>
      <c r="O167" s="51">
        <v>0</v>
      </c>
      <c r="P167" s="51">
        <v>0</v>
      </c>
      <c r="Q167" s="51">
        <v>0</v>
      </c>
      <c r="R167" s="51">
        <v>0</v>
      </c>
      <c r="S167" s="51">
        <v>0</v>
      </c>
      <c r="T167" s="51"/>
      <c r="U167" s="51">
        <v>0</v>
      </c>
      <c r="V167" s="67">
        <v>60000</v>
      </c>
      <c r="W167" s="67">
        <v>60000</v>
      </c>
      <c r="Y167" s="67">
        <f t="shared" ref="Y167:AI169" si="76">ROUND($W167/12,0)</f>
        <v>5000</v>
      </c>
      <c r="Z167" s="67">
        <f t="shared" si="76"/>
        <v>5000</v>
      </c>
      <c r="AA167" s="67">
        <f t="shared" si="76"/>
        <v>5000</v>
      </c>
      <c r="AB167" s="67">
        <f t="shared" si="76"/>
        <v>5000</v>
      </c>
      <c r="AC167" s="67">
        <f t="shared" si="76"/>
        <v>5000</v>
      </c>
      <c r="AD167" s="67">
        <f t="shared" si="76"/>
        <v>5000</v>
      </c>
      <c r="AE167" s="67">
        <f t="shared" si="76"/>
        <v>5000</v>
      </c>
      <c r="AF167" s="67">
        <f t="shared" si="76"/>
        <v>5000</v>
      </c>
      <c r="AG167" s="67">
        <f t="shared" si="76"/>
        <v>5000</v>
      </c>
      <c r="AH167" s="67">
        <f t="shared" si="76"/>
        <v>5000</v>
      </c>
      <c r="AI167" s="67">
        <f t="shared" si="76"/>
        <v>5000</v>
      </c>
      <c r="AJ167" s="67">
        <f t="shared" ref="AJ167:AJ169" si="77">W167-Y167-Z167-AA167-AB167-AC167-AD167-AE167-AF167-AG167-AH167-AI167</f>
        <v>5000</v>
      </c>
      <c r="AK167" s="67">
        <f t="shared" ref="AK167:AK169" si="78">SUM(Y167:AJ167)-W167</f>
        <v>0</v>
      </c>
    </row>
    <row r="168" spans="1:37" x14ac:dyDescent="0.3">
      <c r="A168" s="50"/>
      <c r="B168" s="50"/>
      <c r="C168" s="50"/>
      <c r="D168" s="50"/>
      <c r="E168" s="50"/>
      <c r="F168" s="50"/>
      <c r="G168" s="50" t="s">
        <v>192</v>
      </c>
      <c r="H168" s="51">
        <v>0</v>
      </c>
      <c r="I168" s="51">
        <v>0</v>
      </c>
      <c r="J168" s="51">
        <v>0</v>
      </c>
      <c r="K168" s="51">
        <v>0</v>
      </c>
      <c r="L168" s="51">
        <v>0</v>
      </c>
      <c r="M168" s="51">
        <v>0</v>
      </c>
      <c r="N168" s="51">
        <v>0</v>
      </c>
      <c r="O168" s="51">
        <v>0</v>
      </c>
      <c r="P168" s="51">
        <v>0</v>
      </c>
      <c r="Q168" s="51">
        <v>0</v>
      </c>
      <c r="R168" s="51">
        <v>0</v>
      </c>
      <c r="S168" s="51">
        <v>0</v>
      </c>
      <c r="T168" s="51"/>
      <c r="U168" s="51">
        <v>0</v>
      </c>
      <c r="V168" s="67">
        <v>17000</v>
      </c>
      <c r="W168" s="67">
        <v>17000</v>
      </c>
      <c r="Y168" s="67">
        <f t="shared" si="76"/>
        <v>1417</v>
      </c>
      <c r="Z168" s="67">
        <f t="shared" si="76"/>
        <v>1417</v>
      </c>
      <c r="AA168" s="67">
        <f t="shared" si="76"/>
        <v>1417</v>
      </c>
      <c r="AB168" s="67">
        <f t="shared" si="76"/>
        <v>1417</v>
      </c>
      <c r="AC168" s="67">
        <f t="shared" si="76"/>
        <v>1417</v>
      </c>
      <c r="AD168" s="67">
        <f t="shared" si="76"/>
        <v>1417</v>
      </c>
      <c r="AE168" s="67">
        <f t="shared" si="76"/>
        <v>1417</v>
      </c>
      <c r="AF168" s="67">
        <f t="shared" si="76"/>
        <v>1417</v>
      </c>
      <c r="AG168" s="67">
        <f t="shared" si="76"/>
        <v>1417</v>
      </c>
      <c r="AH168" s="67">
        <f t="shared" si="76"/>
        <v>1417</v>
      </c>
      <c r="AI168" s="67">
        <f t="shared" si="76"/>
        <v>1417</v>
      </c>
      <c r="AJ168" s="67">
        <f t="shared" si="77"/>
        <v>1413</v>
      </c>
      <c r="AK168" s="67">
        <f t="shared" si="78"/>
        <v>0</v>
      </c>
    </row>
    <row r="169" spans="1:37" ht="15" thickBot="1" x14ac:dyDescent="0.35">
      <c r="A169" s="50"/>
      <c r="B169" s="50"/>
      <c r="C169" s="50"/>
      <c r="D169" s="50"/>
      <c r="E169" s="50"/>
      <c r="F169" s="50"/>
      <c r="G169" s="50" t="s">
        <v>193</v>
      </c>
      <c r="H169" s="52">
        <v>0</v>
      </c>
      <c r="I169" s="52">
        <v>1945</v>
      </c>
      <c r="J169" s="52">
        <v>0</v>
      </c>
      <c r="K169" s="52">
        <v>0</v>
      </c>
      <c r="L169" s="52">
        <v>0</v>
      </c>
      <c r="M169" s="52">
        <v>0</v>
      </c>
      <c r="N169" s="52">
        <v>0</v>
      </c>
      <c r="O169" s="52">
        <v>0</v>
      </c>
      <c r="P169" s="52">
        <v>0</v>
      </c>
      <c r="Q169" s="52">
        <v>0</v>
      </c>
      <c r="R169" s="52">
        <v>0</v>
      </c>
      <c r="S169" s="52">
        <v>0</v>
      </c>
      <c r="T169" s="52"/>
      <c r="U169" s="52">
        <f>ROUND(SUM(H169:T169),5)</f>
        <v>1945</v>
      </c>
      <c r="V169" s="52">
        <v>5000</v>
      </c>
      <c r="W169" s="52">
        <v>6000</v>
      </c>
      <c r="X169" s="68" t="s">
        <v>253</v>
      </c>
      <c r="Y169" s="52">
        <f t="shared" si="76"/>
        <v>500</v>
      </c>
      <c r="Z169" s="52">
        <f t="shared" si="76"/>
        <v>500</v>
      </c>
      <c r="AA169" s="52">
        <f t="shared" si="76"/>
        <v>500</v>
      </c>
      <c r="AB169" s="52">
        <f t="shared" si="76"/>
        <v>500</v>
      </c>
      <c r="AC169" s="52">
        <f t="shared" si="76"/>
        <v>500</v>
      </c>
      <c r="AD169" s="52">
        <f t="shared" si="76"/>
        <v>500</v>
      </c>
      <c r="AE169" s="52">
        <f t="shared" si="76"/>
        <v>500</v>
      </c>
      <c r="AF169" s="52">
        <f t="shared" si="76"/>
        <v>500</v>
      </c>
      <c r="AG169" s="52">
        <f t="shared" si="76"/>
        <v>500</v>
      </c>
      <c r="AH169" s="52">
        <f t="shared" si="76"/>
        <v>500</v>
      </c>
      <c r="AI169" s="52">
        <f t="shared" si="76"/>
        <v>500</v>
      </c>
      <c r="AJ169" s="52">
        <f t="shared" si="77"/>
        <v>500</v>
      </c>
      <c r="AK169" s="52">
        <f t="shared" si="78"/>
        <v>0</v>
      </c>
    </row>
    <row r="170" spans="1:37" ht="15" thickBot="1" x14ac:dyDescent="0.35">
      <c r="A170" s="50"/>
      <c r="B170" s="50"/>
      <c r="C170" s="50"/>
      <c r="D170" s="50"/>
      <c r="E170" s="50"/>
      <c r="F170" s="50" t="s">
        <v>194</v>
      </c>
      <c r="G170" s="50"/>
      <c r="H170" s="52">
        <f t="shared" ref="H170:S170" si="79">ROUND(SUM(H166:H169),5)</f>
        <v>0</v>
      </c>
      <c r="I170" s="52">
        <f t="shared" si="79"/>
        <v>1945</v>
      </c>
      <c r="J170" s="52">
        <f t="shared" si="79"/>
        <v>0</v>
      </c>
      <c r="K170" s="52">
        <f t="shared" si="79"/>
        <v>0</v>
      </c>
      <c r="L170" s="52">
        <f t="shared" si="79"/>
        <v>0</v>
      </c>
      <c r="M170" s="52">
        <f t="shared" si="79"/>
        <v>0</v>
      </c>
      <c r="N170" s="52">
        <f t="shared" si="79"/>
        <v>0</v>
      </c>
      <c r="O170" s="52">
        <f t="shared" si="79"/>
        <v>0</v>
      </c>
      <c r="P170" s="52">
        <f t="shared" si="79"/>
        <v>0</v>
      </c>
      <c r="Q170" s="52">
        <f t="shared" si="79"/>
        <v>0</v>
      </c>
      <c r="R170" s="52">
        <f t="shared" si="79"/>
        <v>0</v>
      </c>
      <c r="S170" s="52">
        <f t="shared" si="79"/>
        <v>0</v>
      </c>
      <c r="T170" s="52"/>
      <c r="U170" s="52">
        <f>ROUND(SUM(H170:T170),5)</f>
        <v>1945</v>
      </c>
      <c r="V170" s="52">
        <f>ROUND(SUM(V166:V169),5)</f>
        <v>82000</v>
      </c>
      <c r="W170" s="114">
        <f>ROUND(SUM(W166:W169),5)</f>
        <v>83000</v>
      </c>
      <c r="Y170" s="114"/>
      <c r="Z170" s="114"/>
      <c r="AA170" s="114"/>
      <c r="AB170" s="114"/>
      <c r="AC170" s="114"/>
      <c r="AD170" s="114"/>
      <c r="AE170" s="114"/>
      <c r="AF170" s="114"/>
      <c r="AG170" s="114"/>
      <c r="AH170" s="114"/>
      <c r="AI170" s="114"/>
      <c r="AJ170" s="114"/>
      <c r="AK170" s="114"/>
    </row>
    <row r="171" spans="1:37" ht="15" thickBot="1" x14ac:dyDescent="0.35">
      <c r="A171" s="50"/>
      <c r="B171" s="50"/>
      <c r="C171" s="50"/>
      <c r="D171" s="50"/>
      <c r="E171" s="50" t="s">
        <v>195</v>
      </c>
      <c r="F171" s="50"/>
      <c r="G171" s="50"/>
      <c r="H171" s="54">
        <f t="shared" ref="H171:S171" si="80">ROUND(H156+H162+H165+H170,5)</f>
        <v>6935</v>
      </c>
      <c r="I171" s="54">
        <f t="shared" si="80"/>
        <v>3302</v>
      </c>
      <c r="J171" s="54">
        <f t="shared" si="80"/>
        <v>0</v>
      </c>
      <c r="K171" s="54">
        <f t="shared" si="80"/>
        <v>0</v>
      </c>
      <c r="L171" s="54">
        <f t="shared" si="80"/>
        <v>0</v>
      </c>
      <c r="M171" s="54">
        <f t="shared" si="80"/>
        <v>0</v>
      </c>
      <c r="N171" s="54">
        <f t="shared" si="80"/>
        <v>0</v>
      </c>
      <c r="O171" s="54">
        <f t="shared" si="80"/>
        <v>1900</v>
      </c>
      <c r="P171" s="54">
        <f t="shared" si="80"/>
        <v>355787.84</v>
      </c>
      <c r="Q171" s="54">
        <f t="shared" si="80"/>
        <v>9486.81</v>
      </c>
      <c r="R171" s="54">
        <f t="shared" si="80"/>
        <v>261853.25</v>
      </c>
      <c r="S171" s="54">
        <f t="shared" si="80"/>
        <v>350000</v>
      </c>
      <c r="T171" s="54"/>
      <c r="U171" s="54">
        <f>ROUND(SUM(H171:T171),5)</f>
        <v>989264.9</v>
      </c>
      <c r="V171" s="54">
        <f>ROUND(V156+V162+V165+V170,5)</f>
        <v>351500</v>
      </c>
      <c r="W171" s="54">
        <f>ROUND(W156+W162+W165+W170,5)</f>
        <v>1802500</v>
      </c>
      <c r="Y171" s="54"/>
      <c r="Z171" s="54"/>
      <c r="AA171" s="54"/>
      <c r="AB171" s="54"/>
      <c r="AC171" s="54"/>
      <c r="AD171" s="54"/>
      <c r="AE171" s="54"/>
      <c r="AF171" s="54"/>
      <c r="AG171" s="54"/>
      <c r="AH171" s="54"/>
      <c r="AI171" s="54"/>
      <c r="AJ171" s="54"/>
      <c r="AK171" s="54"/>
    </row>
    <row r="172" spans="1:37" s="56" customFormat="1" ht="21" thickBot="1" x14ac:dyDescent="0.25">
      <c r="A172" s="50"/>
      <c r="B172" s="50"/>
      <c r="C172" s="50"/>
      <c r="D172" s="50"/>
      <c r="E172" s="50" t="s">
        <v>203</v>
      </c>
      <c r="F172" s="50"/>
      <c r="G172" s="50"/>
      <c r="H172" s="54"/>
      <c r="I172" s="54"/>
      <c r="J172" s="54"/>
      <c r="K172" s="54"/>
      <c r="L172" s="54"/>
      <c r="M172" s="54"/>
      <c r="N172" s="54"/>
      <c r="O172" s="54"/>
      <c r="P172" s="54"/>
      <c r="Q172" s="54"/>
      <c r="R172" s="54"/>
      <c r="S172" s="54"/>
      <c r="T172" s="54"/>
      <c r="U172" s="54">
        <v>0</v>
      </c>
      <c r="V172" s="54">
        <v>226000</v>
      </c>
      <c r="W172" s="54">
        <f>W24+W20</f>
        <v>145100</v>
      </c>
      <c r="X172" s="68" t="s">
        <v>209</v>
      </c>
      <c r="Y172" s="54">
        <f t="shared" ref="Y172:AI174" si="81">ROUND($W172/12,0)</f>
        <v>12092</v>
      </c>
      <c r="Z172" s="54">
        <f t="shared" si="81"/>
        <v>12092</v>
      </c>
      <c r="AA172" s="54">
        <f t="shared" si="81"/>
        <v>12092</v>
      </c>
      <c r="AB172" s="54">
        <f t="shared" si="81"/>
        <v>12092</v>
      </c>
      <c r="AC172" s="54">
        <f t="shared" si="81"/>
        <v>12092</v>
      </c>
      <c r="AD172" s="54">
        <f t="shared" si="81"/>
        <v>12092</v>
      </c>
      <c r="AE172" s="54">
        <f t="shared" si="81"/>
        <v>12092</v>
      </c>
      <c r="AF172" s="54">
        <f t="shared" si="81"/>
        <v>12092</v>
      </c>
      <c r="AG172" s="54">
        <f t="shared" si="81"/>
        <v>12092</v>
      </c>
      <c r="AH172" s="54">
        <f t="shared" si="81"/>
        <v>12092</v>
      </c>
      <c r="AI172" s="54">
        <f t="shared" si="81"/>
        <v>12092</v>
      </c>
      <c r="AJ172" s="54">
        <f t="shared" ref="AJ172:AJ174" si="82">W172-Y172-Z172-AA172-AB172-AC172-AD172-AE172-AF172-AG172-AH172-AI172</f>
        <v>12088</v>
      </c>
      <c r="AK172" s="54">
        <f t="shared" ref="AK172:AK174" si="83">SUM(Y172:AJ172)-W172</f>
        <v>0</v>
      </c>
    </row>
    <row r="173" spans="1:37" s="56" customFormat="1" ht="10.8" thickBot="1" x14ac:dyDescent="0.25">
      <c r="A173" s="50"/>
      <c r="B173" s="50"/>
      <c r="C173" s="50"/>
      <c r="D173" s="50"/>
      <c r="E173" s="50" t="s">
        <v>299</v>
      </c>
      <c r="F173" s="50"/>
      <c r="G173" s="50"/>
      <c r="H173" s="54"/>
      <c r="I173" s="54"/>
      <c r="J173" s="54"/>
      <c r="K173" s="54"/>
      <c r="L173" s="54"/>
      <c r="M173" s="54"/>
      <c r="N173" s="54"/>
      <c r="O173" s="54"/>
      <c r="P173" s="54"/>
      <c r="Q173" s="54"/>
      <c r="R173" s="54"/>
      <c r="S173" s="54"/>
      <c r="T173" s="54"/>
      <c r="U173" s="54">
        <v>0</v>
      </c>
      <c r="V173" s="54">
        <v>0</v>
      </c>
      <c r="W173" s="54">
        <v>-1802500</v>
      </c>
      <c r="X173" s="68" t="s">
        <v>300</v>
      </c>
      <c r="Y173" s="54">
        <f t="shared" si="81"/>
        <v>-150208</v>
      </c>
      <c r="Z173" s="54">
        <f t="shared" si="81"/>
        <v>-150208</v>
      </c>
      <c r="AA173" s="54">
        <f t="shared" si="81"/>
        <v>-150208</v>
      </c>
      <c r="AB173" s="54">
        <f t="shared" si="81"/>
        <v>-150208</v>
      </c>
      <c r="AC173" s="54">
        <f t="shared" si="81"/>
        <v>-150208</v>
      </c>
      <c r="AD173" s="54">
        <f t="shared" si="81"/>
        <v>-150208</v>
      </c>
      <c r="AE173" s="54">
        <f t="shared" si="81"/>
        <v>-150208</v>
      </c>
      <c r="AF173" s="54">
        <f t="shared" si="81"/>
        <v>-150208</v>
      </c>
      <c r="AG173" s="54">
        <f t="shared" si="81"/>
        <v>-150208</v>
      </c>
      <c r="AH173" s="54">
        <f t="shared" si="81"/>
        <v>-150208</v>
      </c>
      <c r="AI173" s="54">
        <f t="shared" si="81"/>
        <v>-150208</v>
      </c>
      <c r="AJ173" s="54">
        <f t="shared" si="82"/>
        <v>-150212</v>
      </c>
      <c r="AK173" s="54">
        <f t="shared" si="83"/>
        <v>0</v>
      </c>
    </row>
    <row r="174" spans="1:37" ht="22.2" thickBot="1" x14ac:dyDescent="0.35">
      <c r="A174" s="50"/>
      <c r="B174" s="50"/>
      <c r="C174" s="50"/>
      <c r="D174" s="50"/>
      <c r="E174" s="50" t="s">
        <v>204</v>
      </c>
      <c r="F174" s="50"/>
      <c r="G174" s="50"/>
      <c r="H174" s="54"/>
      <c r="I174" s="54"/>
      <c r="J174" s="54"/>
      <c r="K174" s="54"/>
      <c r="L174" s="54"/>
      <c r="M174" s="54"/>
      <c r="N174" s="54"/>
      <c r="O174" s="54"/>
      <c r="P174" s="54"/>
      <c r="Q174" s="54"/>
      <c r="R174" s="54"/>
      <c r="S174" s="54"/>
      <c r="T174" s="54"/>
      <c r="U174" s="54">
        <v>0</v>
      </c>
      <c r="V174" s="54">
        <v>245659</v>
      </c>
      <c r="W174" s="116">
        <f>313950+7500</f>
        <v>321450</v>
      </c>
      <c r="X174" s="68" t="s">
        <v>301</v>
      </c>
      <c r="Y174" s="116">
        <f t="shared" si="81"/>
        <v>26788</v>
      </c>
      <c r="Z174" s="116">
        <f t="shared" si="81"/>
        <v>26788</v>
      </c>
      <c r="AA174" s="116">
        <f t="shared" si="81"/>
        <v>26788</v>
      </c>
      <c r="AB174" s="116">
        <f t="shared" si="81"/>
        <v>26788</v>
      </c>
      <c r="AC174" s="116">
        <f t="shared" si="81"/>
        <v>26788</v>
      </c>
      <c r="AD174" s="116">
        <f t="shared" si="81"/>
        <v>26788</v>
      </c>
      <c r="AE174" s="116">
        <f t="shared" si="81"/>
        <v>26788</v>
      </c>
      <c r="AF174" s="116">
        <f t="shared" si="81"/>
        <v>26788</v>
      </c>
      <c r="AG174" s="116">
        <f t="shared" si="81"/>
        <v>26788</v>
      </c>
      <c r="AH174" s="116">
        <f t="shared" si="81"/>
        <v>26788</v>
      </c>
      <c r="AI174" s="116">
        <f t="shared" si="81"/>
        <v>26788</v>
      </c>
      <c r="AJ174" s="116">
        <f t="shared" si="82"/>
        <v>26782</v>
      </c>
      <c r="AK174" s="116">
        <f t="shared" si="83"/>
        <v>0</v>
      </c>
    </row>
    <row r="175" spans="1:37" ht="15" thickBot="1" x14ac:dyDescent="0.35">
      <c r="A175" s="50"/>
      <c r="B175" s="50"/>
      <c r="C175" s="50"/>
      <c r="D175" s="50" t="s">
        <v>5</v>
      </c>
      <c r="E175" s="50"/>
      <c r="F175" s="50"/>
      <c r="G175" s="50"/>
      <c r="H175" s="53">
        <f t="shared" ref="H175:S175" si="84">ROUND(H40+H71+H149+H155+H171,5)</f>
        <v>40629.21</v>
      </c>
      <c r="I175" s="53">
        <f t="shared" si="84"/>
        <v>42211.89</v>
      </c>
      <c r="J175" s="53">
        <f t="shared" si="84"/>
        <v>35255.99</v>
      </c>
      <c r="K175" s="53">
        <f t="shared" si="84"/>
        <v>58915.23</v>
      </c>
      <c r="L175" s="53">
        <f t="shared" si="84"/>
        <v>38223.08</v>
      </c>
      <c r="M175" s="53">
        <f t="shared" si="84"/>
        <v>55599.54</v>
      </c>
      <c r="N175" s="53">
        <f t="shared" si="84"/>
        <v>57824.7</v>
      </c>
      <c r="O175" s="53">
        <f t="shared" si="84"/>
        <v>44586.239999999998</v>
      </c>
      <c r="P175" s="53">
        <f t="shared" si="84"/>
        <v>393348.6</v>
      </c>
      <c r="Q175" s="53">
        <f t="shared" si="84"/>
        <v>58195.67</v>
      </c>
      <c r="R175" s="53">
        <f t="shared" si="84"/>
        <v>299439.25</v>
      </c>
      <c r="S175" s="53">
        <f t="shared" si="84"/>
        <v>455414.61</v>
      </c>
      <c r="T175" s="53"/>
      <c r="U175" s="53">
        <f>ROUND(SUM(H175:T175),5)</f>
        <v>1579644.01</v>
      </c>
      <c r="V175" s="53">
        <f>ROUND(V40+V71+V149+V155+V171,5)+V172+V174</f>
        <v>1552500</v>
      </c>
      <c r="W175" s="53">
        <f>ROUND(W40+W71+W149+W155+W171,5)+W172+W174+W173</f>
        <v>1198500</v>
      </c>
      <c r="Y175" s="53"/>
      <c r="Z175" s="53"/>
      <c r="AA175" s="53"/>
      <c r="AB175" s="53"/>
      <c r="AC175" s="53"/>
      <c r="AD175" s="53"/>
      <c r="AE175" s="53"/>
      <c r="AF175" s="53"/>
      <c r="AG175" s="53"/>
      <c r="AH175" s="53"/>
      <c r="AI175" s="53"/>
      <c r="AJ175" s="53"/>
      <c r="AK175" s="53"/>
    </row>
    <row r="176" spans="1:37" x14ac:dyDescent="0.3">
      <c r="A176" s="50"/>
      <c r="B176" s="50" t="s">
        <v>6</v>
      </c>
      <c r="C176" s="50"/>
      <c r="D176" s="50"/>
      <c r="E176" s="50"/>
      <c r="F176" s="50"/>
      <c r="G176" s="50"/>
      <c r="H176" s="51">
        <f t="shared" ref="H176:S176" si="85">ROUND(H2+H39-H175,5)</f>
        <v>20645.93</v>
      </c>
      <c r="I176" s="51">
        <f t="shared" si="85"/>
        <v>-21134.85</v>
      </c>
      <c r="J176" s="51">
        <f t="shared" si="85"/>
        <v>51003.360000000001</v>
      </c>
      <c r="K176" s="51">
        <f t="shared" si="85"/>
        <v>26647.89</v>
      </c>
      <c r="L176" s="51">
        <f t="shared" si="85"/>
        <v>-11791.18</v>
      </c>
      <c r="M176" s="51">
        <f t="shared" si="85"/>
        <v>242069.91</v>
      </c>
      <c r="N176" s="51">
        <f t="shared" si="85"/>
        <v>160957.59</v>
      </c>
      <c r="O176" s="51">
        <f t="shared" si="85"/>
        <v>15114.64</v>
      </c>
      <c r="P176" s="51">
        <f t="shared" si="85"/>
        <v>-318923.76</v>
      </c>
      <c r="Q176" s="51">
        <f t="shared" si="85"/>
        <v>46415.09</v>
      </c>
      <c r="R176" s="51">
        <f t="shared" si="85"/>
        <v>-23874.639999999999</v>
      </c>
      <c r="S176" s="51">
        <f t="shared" si="85"/>
        <v>-411762.25</v>
      </c>
      <c r="T176" s="51"/>
      <c r="U176" s="51">
        <f>ROUND(SUM(H176:T176),5)</f>
        <v>-224632.27</v>
      </c>
      <c r="V176" s="51">
        <f>ROUND(V2+V39-V175,5)</f>
        <v>-351500</v>
      </c>
      <c r="W176" s="51">
        <f>ROUND(W2+W39-W175,5)</f>
        <v>0</v>
      </c>
      <c r="Y176" s="51"/>
      <c r="Z176" s="51"/>
      <c r="AA176" s="51"/>
      <c r="AB176" s="51"/>
      <c r="AC176" s="51"/>
      <c r="AD176" s="51"/>
      <c r="AE176" s="51"/>
      <c r="AF176" s="51"/>
      <c r="AG176" s="51"/>
      <c r="AH176" s="51"/>
      <c r="AI176" s="51"/>
      <c r="AJ176" s="51"/>
      <c r="AK176" s="51"/>
    </row>
    <row r="177" spans="1:37" ht="17.399999999999999" hidden="1" customHeight="1" thickBot="1" x14ac:dyDescent="0.35">
      <c r="A177" s="50"/>
      <c r="B177" s="50" t="s">
        <v>7</v>
      </c>
      <c r="C177" s="50"/>
      <c r="D177" s="50"/>
      <c r="E177" s="50"/>
      <c r="F177" s="50"/>
      <c r="G177" s="50"/>
      <c r="H177" s="51"/>
      <c r="I177" s="51"/>
      <c r="J177" s="51"/>
      <c r="K177" s="51"/>
      <c r="L177" s="51"/>
      <c r="M177" s="51"/>
      <c r="N177" s="51"/>
      <c r="O177" s="51"/>
      <c r="P177" s="51"/>
      <c r="Q177" s="51"/>
      <c r="R177" s="51"/>
      <c r="S177" s="51"/>
      <c r="T177" s="51"/>
      <c r="U177" s="51"/>
      <c r="V177" s="51"/>
      <c r="W177" s="51"/>
      <c r="Y177" s="51"/>
      <c r="Z177" s="51"/>
      <c r="AA177" s="51"/>
      <c r="AB177" s="51"/>
      <c r="AC177" s="51"/>
      <c r="AD177" s="51"/>
      <c r="AE177" s="51"/>
      <c r="AF177" s="51"/>
      <c r="AG177" s="51"/>
      <c r="AH177" s="51"/>
      <c r="AI177" s="51"/>
      <c r="AJ177" s="51"/>
      <c r="AK177" s="51"/>
    </row>
    <row r="178" spans="1:37" ht="25.8" hidden="1" customHeight="1" thickBot="1" x14ac:dyDescent="0.35">
      <c r="A178" s="50"/>
      <c r="B178" s="50"/>
      <c r="C178" s="50" t="s">
        <v>8</v>
      </c>
      <c r="D178" s="50"/>
      <c r="E178" s="50"/>
      <c r="F178" s="50"/>
      <c r="G178" s="50"/>
      <c r="H178" s="51"/>
      <c r="I178" s="51"/>
      <c r="J178" s="51"/>
      <c r="K178" s="51"/>
      <c r="L178" s="51"/>
      <c r="M178" s="51"/>
      <c r="N178" s="51"/>
      <c r="O178" s="51"/>
      <c r="P178" s="51"/>
      <c r="Q178" s="51"/>
      <c r="R178" s="51"/>
      <c r="S178" s="51"/>
      <c r="T178" s="51"/>
      <c r="U178" s="51"/>
      <c r="V178" s="51"/>
      <c r="W178" s="51"/>
      <c r="Y178" s="51"/>
      <c r="Z178" s="51"/>
      <c r="AA178" s="51"/>
      <c r="AB178" s="51"/>
      <c r="AC178" s="51"/>
      <c r="AD178" s="51"/>
      <c r="AE178" s="51"/>
      <c r="AF178" s="51"/>
      <c r="AG178" s="51"/>
      <c r="AH178" s="51"/>
      <c r="AI178" s="51"/>
      <c r="AJ178" s="51"/>
      <c r="AK178" s="51"/>
    </row>
    <row r="179" spans="1:37" ht="14.4" hidden="1" customHeight="1" thickBot="1" x14ac:dyDescent="0.35">
      <c r="A179" s="50"/>
      <c r="B179" s="50"/>
      <c r="C179" s="50"/>
      <c r="D179" s="50" t="s">
        <v>196</v>
      </c>
      <c r="E179" s="50"/>
      <c r="F179" s="50"/>
      <c r="G179" s="50"/>
      <c r="H179" s="51">
        <v>488.69</v>
      </c>
      <c r="I179" s="51">
        <v>0</v>
      </c>
      <c r="J179" s="51">
        <v>0</v>
      </c>
      <c r="K179" s="51">
        <v>0</v>
      </c>
      <c r="L179" s="51">
        <v>0</v>
      </c>
      <c r="M179" s="51">
        <v>0</v>
      </c>
      <c r="N179" s="51">
        <v>1206.2</v>
      </c>
      <c r="O179" s="51">
        <v>0</v>
      </c>
      <c r="P179" s="51">
        <v>0</v>
      </c>
      <c r="Q179" s="51">
        <v>0</v>
      </c>
      <c r="R179" s="51">
        <v>0</v>
      </c>
      <c r="S179" s="51">
        <v>0</v>
      </c>
      <c r="T179" s="51"/>
      <c r="U179" s="51">
        <f t="shared" ref="U179:U184" si="86">ROUND(SUM(H179:T179),5)</f>
        <v>1694.89</v>
      </c>
      <c r="V179" s="51">
        <v>0</v>
      </c>
      <c r="W179" s="51">
        <v>0</v>
      </c>
      <c r="X179" s="68" t="s">
        <v>206</v>
      </c>
      <c r="Y179" s="51"/>
      <c r="Z179" s="51"/>
      <c r="AA179" s="51"/>
      <c r="AB179" s="51"/>
      <c r="AC179" s="51"/>
      <c r="AD179" s="51"/>
      <c r="AE179" s="51"/>
      <c r="AF179" s="51"/>
      <c r="AG179" s="51"/>
      <c r="AH179" s="51"/>
      <c r="AI179" s="51"/>
      <c r="AJ179" s="51"/>
      <c r="AK179" s="51"/>
    </row>
    <row r="180" spans="1:37" ht="15.6" hidden="1" customHeight="1" x14ac:dyDescent="0.3">
      <c r="A180" s="50"/>
      <c r="B180" s="50"/>
      <c r="C180" s="50"/>
      <c r="D180" s="50" t="s">
        <v>197</v>
      </c>
      <c r="E180" s="50"/>
      <c r="F180" s="50"/>
      <c r="G180" s="50"/>
      <c r="H180" s="51">
        <v>3838.17</v>
      </c>
      <c r="I180" s="51">
        <v>-7360.71</v>
      </c>
      <c r="J180" s="51">
        <v>-12262.78</v>
      </c>
      <c r="K180" s="51">
        <v>-15312.76</v>
      </c>
      <c r="L180" s="51">
        <v>-7089.43</v>
      </c>
      <c r="M180" s="51">
        <v>-12210.57</v>
      </c>
      <c r="N180" s="51">
        <v>-30666.5</v>
      </c>
      <c r="O180" s="51">
        <v>-22606.21</v>
      </c>
      <c r="P180" s="51">
        <v>-54477.599999999999</v>
      </c>
      <c r="Q180" s="51">
        <v>-43909.78</v>
      </c>
      <c r="R180" s="51">
        <v>9284.9</v>
      </c>
      <c r="S180" s="51">
        <v>-10762.94</v>
      </c>
      <c r="T180" s="51"/>
      <c r="U180" s="51">
        <f t="shared" si="86"/>
        <v>-203536.21</v>
      </c>
      <c r="V180" s="51">
        <v>0</v>
      </c>
      <c r="W180" s="51">
        <v>0</v>
      </c>
      <c r="X180" s="68" t="s">
        <v>206</v>
      </c>
      <c r="Y180" s="51"/>
      <c r="Z180" s="51"/>
      <c r="AA180" s="51"/>
      <c r="AB180" s="51"/>
      <c r="AC180" s="51"/>
      <c r="AD180" s="51"/>
      <c r="AE180" s="51"/>
      <c r="AF180" s="51"/>
      <c r="AG180" s="51"/>
      <c r="AH180" s="51"/>
      <c r="AI180" s="51"/>
      <c r="AJ180" s="51"/>
      <c r="AK180" s="51"/>
    </row>
    <row r="181" spans="1:37" ht="13.2" hidden="1" customHeight="1" thickBot="1" x14ac:dyDescent="0.35">
      <c r="A181" s="50"/>
      <c r="B181" s="50"/>
      <c r="C181" s="50"/>
      <c r="D181" s="50" t="s">
        <v>280</v>
      </c>
      <c r="E181" s="50"/>
      <c r="F181" s="50"/>
      <c r="G181" s="50"/>
      <c r="H181" s="51">
        <v>0</v>
      </c>
      <c r="I181" s="51">
        <v>0</v>
      </c>
      <c r="J181" s="51">
        <v>0</v>
      </c>
      <c r="K181" s="51">
        <v>0</v>
      </c>
      <c r="L181" s="51">
        <v>0</v>
      </c>
      <c r="M181" s="51">
        <v>0</v>
      </c>
      <c r="N181" s="51">
        <v>0</v>
      </c>
      <c r="O181" s="51">
        <v>0</v>
      </c>
      <c r="P181" s="51">
        <v>0</v>
      </c>
      <c r="Q181" s="51">
        <v>0</v>
      </c>
      <c r="R181" s="51">
        <v>0</v>
      </c>
      <c r="S181" s="51">
        <v>0</v>
      </c>
      <c r="T181" s="51"/>
      <c r="U181" s="51">
        <f t="shared" si="86"/>
        <v>0</v>
      </c>
      <c r="V181" s="51">
        <v>0</v>
      </c>
      <c r="W181" s="51">
        <v>0</v>
      </c>
      <c r="X181" s="68" t="s">
        <v>206</v>
      </c>
      <c r="Y181" s="51"/>
      <c r="Z181" s="51"/>
      <c r="AA181" s="51"/>
      <c r="AB181" s="51"/>
      <c r="AC181" s="51"/>
      <c r="AD181" s="51"/>
      <c r="AE181" s="51"/>
      <c r="AF181" s="51"/>
      <c r="AG181" s="51"/>
      <c r="AH181" s="51"/>
      <c r="AI181" s="51"/>
      <c r="AJ181" s="51"/>
      <c r="AK181" s="51"/>
    </row>
    <row r="182" spans="1:37" hidden="1" x14ac:dyDescent="0.3">
      <c r="A182" s="50"/>
      <c r="B182" s="50"/>
      <c r="C182" s="50" t="s">
        <v>9</v>
      </c>
      <c r="D182" s="50"/>
      <c r="E182" s="50"/>
      <c r="F182" s="50"/>
      <c r="G182" s="50"/>
      <c r="H182" s="54">
        <f t="shared" ref="H182:P182" si="87">ROUND(SUM(H178:H181),5)</f>
        <v>4326.8599999999997</v>
      </c>
      <c r="I182" s="54">
        <f t="shared" si="87"/>
        <v>-7360.71</v>
      </c>
      <c r="J182" s="54">
        <f t="shared" si="87"/>
        <v>-12262.78</v>
      </c>
      <c r="K182" s="54">
        <f t="shared" si="87"/>
        <v>-15312.76</v>
      </c>
      <c r="L182" s="54">
        <f t="shared" si="87"/>
        <v>-7089.43</v>
      </c>
      <c r="M182" s="54">
        <f t="shared" si="87"/>
        <v>-12210.57</v>
      </c>
      <c r="N182" s="54">
        <f t="shared" si="87"/>
        <v>-29460.3</v>
      </c>
      <c r="O182" s="54">
        <f t="shared" si="87"/>
        <v>-22606.21</v>
      </c>
      <c r="P182" s="54">
        <f t="shared" si="87"/>
        <v>-54477.599999999999</v>
      </c>
      <c r="Q182" s="54">
        <f>ROUND(SUM(Q178:Q181),5)</f>
        <v>-43909.78</v>
      </c>
      <c r="R182" s="54">
        <f>ROUND(SUM(R178:R181),5)</f>
        <v>9284.9</v>
      </c>
      <c r="S182" s="54">
        <f>ROUND(SUM(S178:S181),5)</f>
        <v>-10762.94</v>
      </c>
      <c r="T182" s="54"/>
      <c r="U182" s="54">
        <f t="shared" si="86"/>
        <v>-201841.32</v>
      </c>
      <c r="V182" s="54">
        <f>ROUND(SUM(V178:V181),5)</f>
        <v>0</v>
      </c>
      <c r="W182" s="54">
        <f>ROUND(SUM(W178:W181),5)</f>
        <v>0</v>
      </c>
      <c r="Y182" s="54"/>
      <c r="Z182" s="54"/>
      <c r="AA182" s="54"/>
      <c r="AB182" s="54"/>
      <c r="AC182" s="54"/>
      <c r="AD182" s="54"/>
      <c r="AE182" s="54"/>
      <c r="AF182" s="54"/>
      <c r="AG182" s="54"/>
      <c r="AH182" s="54"/>
      <c r="AI182" s="54"/>
      <c r="AJ182" s="54"/>
      <c r="AK182" s="54"/>
    </row>
    <row r="183" spans="1:37" hidden="1" x14ac:dyDescent="0.3">
      <c r="A183" s="50"/>
      <c r="B183" s="50" t="s">
        <v>10</v>
      </c>
      <c r="C183" s="50"/>
      <c r="D183" s="50"/>
      <c r="E183" s="50"/>
      <c r="F183" s="50"/>
      <c r="G183" s="50"/>
      <c r="H183" s="54">
        <f t="shared" ref="H183:P183" si="88">ROUND(H177+H182,5)</f>
        <v>4326.8599999999997</v>
      </c>
      <c r="I183" s="54">
        <f t="shared" si="88"/>
        <v>-7360.71</v>
      </c>
      <c r="J183" s="54">
        <f t="shared" si="88"/>
        <v>-12262.78</v>
      </c>
      <c r="K183" s="54">
        <f t="shared" si="88"/>
        <v>-15312.76</v>
      </c>
      <c r="L183" s="54">
        <f t="shared" si="88"/>
        <v>-7089.43</v>
      </c>
      <c r="M183" s="54">
        <f t="shared" si="88"/>
        <v>-12210.57</v>
      </c>
      <c r="N183" s="54">
        <f t="shared" si="88"/>
        <v>-29460.3</v>
      </c>
      <c r="O183" s="54">
        <f t="shared" si="88"/>
        <v>-22606.21</v>
      </c>
      <c r="P183" s="54">
        <f t="shared" si="88"/>
        <v>-54477.599999999999</v>
      </c>
      <c r="Q183" s="54">
        <f>ROUND(Q177+Q182,5)</f>
        <v>-43909.78</v>
      </c>
      <c r="R183" s="54">
        <f>ROUND(R177+R182,5)</f>
        <v>9284.9</v>
      </c>
      <c r="S183" s="54">
        <f>ROUND(S177+S182,5)</f>
        <v>-10762.94</v>
      </c>
      <c r="T183" s="54"/>
      <c r="U183" s="54">
        <f t="shared" si="86"/>
        <v>-201841.32</v>
      </c>
      <c r="V183" s="54">
        <f>ROUND(V177+V182,5)</f>
        <v>0</v>
      </c>
      <c r="W183" s="54">
        <f>ROUND(W177+W182,5)</f>
        <v>0</v>
      </c>
      <c r="Y183" s="54"/>
      <c r="Z183" s="54"/>
      <c r="AA183" s="54"/>
      <c r="AB183" s="54"/>
      <c r="AC183" s="54"/>
      <c r="AD183" s="54"/>
      <c r="AE183" s="54"/>
      <c r="AF183" s="54"/>
      <c r="AG183" s="54"/>
      <c r="AH183" s="54"/>
      <c r="AI183" s="54"/>
      <c r="AJ183" s="54"/>
      <c r="AK183" s="54"/>
    </row>
    <row r="184" spans="1:37" ht="15" hidden="1" thickBot="1" x14ac:dyDescent="0.35">
      <c r="A184" s="50" t="s">
        <v>11</v>
      </c>
      <c r="B184" s="50"/>
      <c r="C184" s="50"/>
      <c r="D184" s="50"/>
      <c r="E184" s="50"/>
      <c r="F184" s="50"/>
      <c r="G184" s="50"/>
      <c r="H184" s="55">
        <f t="shared" ref="H184:P184" si="89">ROUND(H176+H183,5)</f>
        <v>24972.79</v>
      </c>
      <c r="I184" s="55">
        <f t="shared" si="89"/>
        <v>-28495.56</v>
      </c>
      <c r="J184" s="55">
        <f t="shared" si="89"/>
        <v>38740.58</v>
      </c>
      <c r="K184" s="55">
        <f t="shared" si="89"/>
        <v>11335.13</v>
      </c>
      <c r="L184" s="55">
        <f t="shared" si="89"/>
        <v>-18880.61</v>
      </c>
      <c r="M184" s="55">
        <f t="shared" si="89"/>
        <v>229859.34</v>
      </c>
      <c r="N184" s="55">
        <f t="shared" si="89"/>
        <v>131497.29</v>
      </c>
      <c r="O184" s="55">
        <f t="shared" si="89"/>
        <v>-7491.57</v>
      </c>
      <c r="P184" s="55">
        <f t="shared" si="89"/>
        <v>-373401.36</v>
      </c>
      <c r="Q184" s="55">
        <f>ROUND(Q176+Q183,5)</f>
        <v>2505.31</v>
      </c>
      <c r="R184" s="55">
        <f>ROUND(R176+R183,5)</f>
        <v>-14589.74</v>
      </c>
      <c r="S184" s="55">
        <f>ROUND(S176+S183,5)</f>
        <v>-422525.19</v>
      </c>
      <c r="T184" s="55"/>
      <c r="U184" s="55">
        <f t="shared" si="86"/>
        <v>-426473.59</v>
      </c>
      <c r="V184" s="55">
        <f>ROUND(V176+V183,5)</f>
        <v>-351500</v>
      </c>
      <c r="W184" s="55">
        <f>ROUND(W176+W183,5)</f>
        <v>0</v>
      </c>
      <c r="Y184" s="55"/>
      <c r="Z184" s="55"/>
      <c r="AA184" s="55"/>
      <c r="AB184" s="55"/>
      <c r="AC184" s="55"/>
      <c r="AD184" s="55"/>
      <c r="AE184" s="55"/>
      <c r="AF184" s="55"/>
      <c r="AG184" s="55"/>
      <c r="AH184" s="55"/>
      <c r="AI184" s="55"/>
      <c r="AJ184" s="55"/>
      <c r="AK184" s="55"/>
    </row>
    <row r="185" spans="1:37" hidden="1" x14ac:dyDescent="0.3"/>
  </sheetData>
  <printOptions horizontalCentered="1"/>
  <pageMargins left="0.7" right="0.7" top="0.75" bottom="0.75" header="0.1" footer="0.3"/>
  <pageSetup orientation="portrait" horizontalDpi="0" verticalDpi="0" r:id="rId1"/>
  <headerFooter>
    <oddHeader>&amp;C&amp;"Arial,Bold"&amp;12 Temecula Public Cemetery District
&amp;14Approved Budget
22-23</oddHeader>
    <oddFooter>&amp;R&amp;"Arial,Bold"&amp;8 Page &amp;P of &amp;N</oddFooter>
  </headerFooter>
  <drawing r:id="rId2"/>
  <legacyDrawing r:id="rId3"/>
  <controls>
    <mc:AlternateContent xmlns:mc="http://schemas.openxmlformats.org/markup-compatibility/2006">
      <mc:Choice Requires="x14">
        <control shapeId="159746" r:id="rId4" name="HEADER">
          <controlPr defaultSize="0" autoLine="0" r:id="rId5">
            <anchor moveWithCells="1">
              <from>
                <xdr:col>0</xdr:col>
                <xdr:colOff>0</xdr:colOff>
                <xdr:row>0</xdr:row>
                <xdr:rowOff>0</xdr:rowOff>
              </from>
              <to>
                <xdr:col>4</xdr:col>
                <xdr:colOff>68580</xdr:colOff>
                <xdr:row>0</xdr:row>
                <xdr:rowOff>236220</xdr:rowOff>
              </to>
            </anchor>
          </controlPr>
        </control>
      </mc:Choice>
      <mc:Fallback>
        <control shapeId="159746" r:id="rId4" name="HEADER"/>
      </mc:Fallback>
    </mc:AlternateContent>
    <mc:AlternateContent xmlns:mc="http://schemas.openxmlformats.org/markup-compatibility/2006">
      <mc:Choice Requires="x14">
        <control shapeId="159745" r:id="rId6" name="FILTER">
          <controlPr defaultSize="0" autoLine="0" r:id="rId7">
            <anchor moveWithCells="1">
              <from>
                <xdr:col>0</xdr:col>
                <xdr:colOff>0</xdr:colOff>
                <xdr:row>0</xdr:row>
                <xdr:rowOff>0</xdr:rowOff>
              </from>
              <to>
                <xdr:col>4</xdr:col>
                <xdr:colOff>68580</xdr:colOff>
                <xdr:row>0</xdr:row>
                <xdr:rowOff>236220</xdr:rowOff>
              </to>
            </anchor>
          </controlPr>
        </control>
      </mc:Choice>
      <mc:Fallback>
        <control shapeId="159745" r:id="rId6" name="FILTER"/>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D2C46-AC2D-4539-B78A-154A9B589B7B}">
  <sheetPr codeName="Sheet7"/>
  <dimension ref="A1:BD188"/>
  <sheetViews>
    <sheetView workbookViewId="0">
      <pane xSplit="7" ySplit="1" topLeftCell="AQ2" activePane="bottomRight" state="frozenSplit"/>
      <selection pane="topRight" activeCell="H1" sqref="H1"/>
      <selection pane="bottomLeft" activeCell="A2" sqref="A2"/>
      <selection pane="bottomRight" activeCell="X1" sqref="X1:BE1048576"/>
    </sheetView>
  </sheetViews>
  <sheetFormatPr defaultRowHeight="14.4" x14ac:dyDescent="0.3"/>
  <cols>
    <col min="1" max="6" width="3" style="56" customWidth="1"/>
    <col min="7" max="7" width="30.5546875" style="56" customWidth="1"/>
    <col min="8" max="8" width="7.88671875" hidden="1" customWidth="1"/>
    <col min="9" max="12" width="8.44140625" hidden="1" customWidth="1"/>
    <col min="13" max="14" width="8.6640625" hidden="1" customWidth="1"/>
    <col min="15" max="15" width="8.44140625" hidden="1" customWidth="1"/>
    <col min="16" max="16" width="9.33203125" hidden="1" customWidth="1"/>
    <col min="17" max="17" width="7.88671875" hidden="1" customWidth="1"/>
    <col min="18" max="19" width="8.6640625" hidden="1" customWidth="1"/>
    <col min="20" max="20" width="8.33203125" hidden="1" customWidth="1"/>
    <col min="21" max="23" width="10" bestFit="1" customWidth="1"/>
    <col min="24" max="24" width="45.6640625" style="68" hidden="1" customWidth="1"/>
    <col min="25" max="27" width="8.88671875" hidden="1" customWidth="1"/>
    <col min="28" max="32" width="3" style="105" hidden="1" customWidth="1"/>
    <col min="33" max="33" width="23.44140625" style="105" hidden="1" customWidth="1"/>
    <col min="34" max="35" width="7.109375" style="109" hidden="1" customWidth="1"/>
    <col min="36" max="36" width="7.88671875" style="109" hidden="1" customWidth="1"/>
    <col min="37" max="37" width="8.33203125" style="109" hidden="1" customWidth="1"/>
    <col min="38" max="38" width="7.109375" style="109" hidden="1" customWidth="1"/>
    <col min="39" max="39" width="7.5546875" style="109" hidden="1" customWidth="1"/>
    <col min="40" max="41" width="7.109375" style="109" hidden="1" customWidth="1"/>
    <col min="42" max="42" width="7.5546875" style="109" hidden="1" customWidth="1"/>
    <col min="43" max="44" width="7.88671875" style="109" hidden="1" customWidth="1"/>
    <col min="45" max="45" width="7.109375" style="109" hidden="1" customWidth="1"/>
    <col min="46" max="46" width="7.5546875" style="109" hidden="1" customWidth="1"/>
    <col min="47" max="49" width="9.5546875" style="109" hidden="1" customWidth="1"/>
    <col min="50" max="50" width="7.5546875" style="109" hidden="1" customWidth="1"/>
    <col min="51" max="51" width="10.109375" style="110" hidden="1" customWidth="1"/>
    <col min="52" max="52" width="9.5546875" style="110" hidden="1" customWidth="1"/>
    <col min="53" max="53" width="10" style="110" hidden="1" customWidth="1"/>
    <col min="54" max="54" width="22.88671875" style="111" hidden="1" customWidth="1"/>
    <col min="55" max="56" width="8.88671875" hidden="1" customWidth="1"/>
    <col min="57" max="57" width="0" hidden="1" customWidth="1"/>
  </cols>
  <sheetData>
    <row r="1" spans="1:54" s="65" customFormat="1" ht="33.75" customHeight="1" thickBot="1" x14ac:dyDescent="0.25">
      <c r="A1" s="63"/>
      <c r="B1" s="63"/>
      <c r="C1" s="63"/>
      <c r="D1" s="63"/>
      <c r="E1" s="63"/>
      <c r="F1" s="63"/>
      <c r="G1" s="63"/>
      <c r="H1" s="64" t="s">
        <v>266</v>
      </c>
      <c r="I1" s="64" t="s">
        <v>267</v>
      </c>
      <c r="J1" s="64" t="s">
        <v>268</v>
      </c>
      <c r="K1" s="64" t="s">
        <v>269</v>
      </c>
      <c r="L1" s="64" t="s">
        <v>270</v>
      </c>
      <c r="M1" s="64" t="s">
        <v>271</v>
      </c>
      <c r="N1" s="64" t="s">
        <v>272</v>
      </c>
      <c r="O1" s="64" t="s">
        <v>273</v>
      </c>
      <c r="P1" s="64" t="s">
        <v>274</v>
      </c>
      <c r="Q1" s="64" t="s">
        <v>294</v>
      </c>
      <c r="R1" s="64" t="s">
        <v>306</v>
      </c>
      <c r="S1" s="64" t="s">
        <v>282</v>
      </c>
      <c r="T1" s="64"/>
      <c r="U1" s="64" t="s">
        <v>314</v>
      </c>
      <c r="V1" s="64" t="s">
        <v>308</v>
      </c>
      <c r="W1" s="64" t="s">
        <v>283</v>
      </c>
      <c r="X1" s="68"/>
      <c r="AB1" s="83"/>
      <c r="AC1" s="83"/>
      <c r="AD1" s="83"/>
      <c r="AE1" s="83"/>
      <c r="AF1" s="83"/>
      <c r="AG1" s="83"/>
      <c r="AH1" s="84"/>
      <c r="AI1" s="84"/>
      <c r="AJ1" s="84"/>
      <c r="AK1" s="84"/>
      <c r="AL1" s="84" t="s">
        <v>221</v>
      </c>
      <c r="AM1" s="84" t="s">
        <v>222</v>
      </c>
      <c r="AN1" s="84" t="s">
        <v>223</v>
      </c>
      <c r="AO1" s="84" t="s">
        <v>224</v>
      </c>
      <c r="AP1" s="84" t="s">
        <v>225</v>
      </c>
      <c r="AQ1" s="84" t="s">
        <v>226</v>
      </c>
      <c r="AR1" s="84" t="s">
        <v>227</v>
      </c>
      <c r="AS1" s="84" t="s">
        <v>228</v>
      </c>
      <c r="AT1" s="84" t="s">
        <v>229</v>
      </c>
      <c r="AU1" s="84" t="s">
        <v>260</v>
      </c>
      <c r="AV1" s="84" t="s">
        <v>234</v>
      </c>
      <c r="AW1" s="84" t="s">
        <v>235</v>
      </c>
      <c r="AX1" s="84"/>
      <c r="AY1" s="85" t="s">
        <v>236</v>
      </c>
      <c r="AZ1" s="85" t="s">
        <v>220</v>
      </c>
      <c r="BA1" s="85" t="s">
        <v>240</v>
      </c>
      <c r="BB1" s="85" t="s">
        <v>241</v>
      </c>
    </row>
    <row r="2" spans="1:54" ht="15" thickTop="1" x14ac:dyDescent="0.3">
      <c r="A2" s="50"/>
      <c r="B2" s="50" t="s">
        <v>1</v>
      </c>
      <c r="C2" s="50"/>
      <c r="D2" s="50"/>
      <c r="E2" s="50"/>
      <c r="F2" s="50"/>
      <c r="G2" s="50"/>
      <c r="H2" s="51"/>
      <c r="I2" s="51"/>
      <c r="J2" s="51"/>
      <c r="K2" s="51"/>
      <c r="L2" s="51"/>
      <c r="M2" s="51"/>
      <c r="N2" s="51"/>
      <c r="O2" s="51"/>
      <c r="P2" s="51"/>
      <c r="Q2" s="51"/>
      <c r="R2" s="51"/>
      <c r="S2" s="51"/>
      <c r="T2" s="51"/>
      <c r="U2" s="51"/>
      <c r="V2" s="51"/>
      <c r="W2" s="51"/>
      <c r="AB2" s="86" t="s">
        <v>1</v>
      </c>
      <c r="AC2" s="86"/>
      <c r="AD2" s="86"/>
      <c r="AE2" s="86"/>
      <c r="AF2" s="86"/>
      <c r="AG2" s="86"/>
      <c r="AH2" s="87"/>
      <c r="AI2" s="87"/>
      <c r="AJ2" s="87"/>
      <c r="AK2" s="87"/>
      <c r="AL2" s="87"/>
      <c r="AM2" s="87"/>
      <c r="AN2" s="87"/>
      <c r="AO2" s="87"/>
      <c r="AP2" s="87"/>
      <c r="AQ2" s="87"/>
      <c r="AR2" s="87"/>
      <c r="AS2" s="87"/>
      <c r="AT2" s="87"/>
      <c r="AU2" s="87"/>
      <c r="AV2" s="87"/>
      <c r="AW2" s="87"/>
      <c r="AX2" s="87"/>
      <c r="AY2" s="88"/>
      <c r="AZ2" s="88"/>
      <c r="BA2" s="88"/>
      <c r="BB2" s="89"/>
    </row>
    <row r="3" spans="1:54" x14ac:dyDescent="0.3">
      <c r="A3" s="50"/>
      <c r="B3" s="50"/>
      <c r="C3" s="50"/>
      <c r="D3" s="50" t="s">
        <v>2</v>
      </c>
      <c r="E3" s="50"/>
      <c r="F3" s="50"/>
      <c r="G3" s="50"/>
      <c r="H3" s="51"/>
      <c r="I3" s="51"/>
      <c r="J3" s="51"/>
      <c r="K3" s="51"/>
      <c r="L3" s="51"/>
      <c r="M3" s="51"/>
      <c r="N3" s="51"/>
      <c r="O3" s="51"/>
      <c r="P3" s="51"/>
      <c r="Q3" s="51"/>
      <c r="R3" s="51"/>
      <c r="S3" s="51"/>
      <c r="T3" s="51"/>
      <c r="U3" s="51"/>
      <c r="V3" s="51"/>
      <c r="W3" s="51"/>
      <c r="AB3" s="86"/>
      <c r="AC3" s="86"/>
      <c r="AD3" s="86" t="s">
        <v>2</v>
      </c>
      <c r="AE3" s="86"/>
      <c r="AF3" s="86"/>
      <c r="AG3" s="86"/>
      <c r="AH3" s="87"/>
      <c r="AI3" s="87"/>
      <c r="AJ3" s="87"/>
      <c r="AK3" s="87"/>
      <c r="AL3" s="87"/>
      <c r="AM3" s="87"/>
      <c r="AN3" s="87"/>
      <c r="AO3" s="87"/>
      <c r="AP3" s="87"/>
      <c r="AQ3" s="87"/>
      <c r="AR3" s="87"/>
      <c r="AS3" s="87"/>
      <c r="AT3" s="87"/>
      <c r="AU3" s="87"/>
      <c r="AV3" s="87"/>
      <c r="AW3" s="87"/>
      <c r="AX3" s="87"/>
      <c r="AY3" s="88"/>
      <c r="AZ3" s="88"/>
      <c r="BA3" s="88"/>
      <c r="BB3" s="89"/>
    </row>
    <row r="4" spans="1:54" x14ac:dyDescent="0.3">
      <c r="A4" s="50"/>
      <c r="B4" s="50"/>
      <c r="C4" s="50"/>
      <c r="D4" s="50"/>
      <c r="E4" s="50" t="s">
        <v>74</v>
      </c>
      <c r="F4" s="50"/>
      <c r="G4" s="50"/>
      <c r="H4" s="51"/>
      <c r="I4" s="51"/>
      <c r="J4" s="51"/>
      <c r="K4" s="51"/>
      <c r="L4" s="51"/>
      <c r="M4" s="51"/>
      <c r="N4" s="51"/>
      <c r="O4" s="51"/>
      <c r="P4" s="51"/>
      <c r="Q4" s="51"/>
      <c r="R4" s="51"/>
      <c r="S4" s="51"/>
      <c r="T4" s="51"/>
      <c r="U4" s="51"/>
      <c r="V4" s="51"/>
      <c r="W4" s="51"/>
      <c r="AB4" s="86"/>
      <c r="AC4" s="86"/>
      <c r="AD4" s="86"/>
      <c r="AE4" s="86" t="s">
        <v>74</v>
      </c>
      <c r="AF4" s="86"/>
      <c r="AG4" s="86"/>
      <c r="AH4" s="87"/>
      <c r="AI4" s="87"/>
      <c r="AJ4" s="87"/>
      <c r="AK4" s="87"/>
      <c r="AL4" s="87"/>
      <c r="AM4" s="87"/>
      <c r="AN4" s="87"/>
      <c r="AO4" s="87"/>
      <c r="AP4" s="87"/>
      <c r="AQ4" s="87"/>
      <c r="AR4" s="87"/>
      <c r="AS4" s="87"/>
      <c r="AT4" s="87"/>
      <c r="AU4" s="87"/>
      <c r="AV4" s="87"/>
      <c r="AW4" s="87"/>
      <c r="AX4" s="87"/>
      <c r="AY4" s="88"/>
      <c r="AZ4" s="88"/>
      <c r="BA4" s="88"/>
      <c r="BB4" s="89"/>
    </row>
    <row r="5" spans="1:54" x14ac:dyDescent="0.3">
      <c r="A5" s="50"/>
      <c r="B5" s="50"/>
      <c r="C5" s="50"/>
      <c r="D5" s="50"/>
      <c r="E5" s="50"/>
      <c r="F5" s="50" t="s">
        <v>75</v>
      </c>
      <c r="G5" s="50"/>
      <c r="H5" s="51">
        <v>0</v>
      </c>
      <c r="I5" s="51">
        <v>0</v>
      </c>
      <c r="J5" s="51">
        <v>0</v>
      </c>
      <c r="K5" s="51">
        <v>10434.290000000001</v>
      </c>
      <c r="L5" s="51">
        <v>-1558.69</v>
      </c>
      <c r="M5" s="51">
        <v>207958.45</v>
      </c>
      <c r="N5" s="51">
        <v>168614.58</v>
      </c>
      <c r="O5" s="51">
        <v>0</v>
      </c>
      <c r="P5" s="51">
        <v>0</v>
      </c>
      <c r="Q5" s="51">
        <v>69317.960000000006</v>
      </c>
      <c r="R5" s="51">
        <v>207662.09</v>
      </c>
      <c r="S5" s="51">
        <v>16877</v>
      </c>
      <c r="T5" s="51"/>
      <c r="U5" s="51">
        <f t="shared" ref="U5:U15" si="0">ROUND(SUM(H5:T5),5)</f>
        <v>679305.68</v>
      </c>
      <c r="V5" s="67">
        <v>663000</v>
      </c>
      <c r="W5" s="67">
        <f>663000-766800+800000</f>
        <v>696200</v>
      </c>
      <c r="AB5" s="86"/>
      <c r="AC5" s="86"/>
      <c r="AD5" s="86"/>
      <c r="AE5" s="86"/>
      <c r="AF5" s="86" t="s">
        <v>75</v>
      </c>
      <c r="AG5" s="86"/>
      <c r="AH5" s="87"/>
      <c r="AI5" s="87"/>
      <c r="AJ5" s="87"/>
      <c r="AK5" s="87"/>
      <c r="AL5" s="87">
        <v>-4000.33</v>
      </c>
      <c r="AM5" s="87">
        <v>0</v>
      </c>
      <c r="AN5" s="87">
        <v>0</v>
      </c>
      <c r="AO5" s="87">
        <v>0</v>
      </c>
      <c r="AP5" s="87">
        <v>0</v>
      </c>
      <c r="AQ5" s="87">
        <v>198022.72</v>
      </c>
      <c r="AR5" s="87">
        <v>156187.59</v>
      </c>
      <c r="AS5" s="87">
        <v>3095.51</v>
      </c>
      <c r="AT5" s="87">
        <v>0</v>
      </c>
      <c r="AU5" s="87">
        <v>66007.55</v>
      </c>
      <c r="AV5" s="87">
        <v>190781.16</v>
      </c>
      <c r="AW5" s="87">
        <v>13907</v>
      </c>
      <c r="AX5" s="87"/>
      <c r="AY5" s="88">
        <f t="shared" ref="AY5:AY15" si="1">ROUND(SUM(AH5:AX5),5)</f>
        <v>624001.19999999995</v>
      </c>
      <c r="AZ5" s="88">
        <v>625300</v>
      </c>
      <c r="BA5" s="88">
        <v>663000</v>
      </c>
      <c r="BB5" s="89"/>
    </row>
    <row r="6" spans="1:54" x14ac:dyDescent="0.3">
      <c r="A6" s="50"/>
      <c r="B6" s="50"/>
      <c r="C6" s="50"/>
      <c r="D6" s="50"/>
      <c r="E6" s="50"/>
      <c r="F6" s="50" t="s">
        <v>76</v>
      </c>
      <c r="G6" s="50"/>
      <c r="H6" s="51">
        <v>0</v>
      </c>
      <c r="I6" s="51">
        <v>2255.1999999999998</v>
      </c>
      <c r="J6" s="51">
        <v>0</v>
      </c>
      <c r="K6" s="51">
        <v>28316.05</v>
      </c>
      <c r="L6" s="51">
        <v>0</v>
      </c>
      <c r="M6" s="51">
        <v>0</v>
      </c>
      <c r="N6" s="51">
        <v>0</v>
      </c>
      <c r="O6" s="51">
        <v>0</v>
      </c>
      <c r="P6" s="51">
        <v>4147.16</v>
      </c>
      <c r="Q6" s="51">
        <v>0</v>
      </c>
      <c r="R6" s="51">
        <v>0</v>
      </c>
      <c r="S6" s="51">
        <v>2000</v>
      </c>
      <c r="T6" s="51"/>
      <c r="U6" s="51">
        <f t="shared" si="0"/>
        <v>36718.410000000003</v>
      </c>
      <c r="V6" s="67">
        <v>25000</v>
      </c>
      <c r="W6" s="67">
        <v>25000</v>
      </c>
      <c r="AB6" s="86"/>
      <c r="AC6" s="86"/>
      <c r="AD6" s="86"/>
      <c r="AE6" s="86"/>
      <c r="AF6" s="86" t="s">
        <v>76</v>
      </c>
      <c r="AG6" s="86"/>
      <c r="AH6" s="87"/>
      <c r="AI6" s="87"/>
      <c r="AJ6" s="87"/>
      <c r="AK6" s="87"/>
      <c r="AL6" s="87">
        <v>0</v>
      </c>
      <c r="AM6" s="87">
        <v>0</v>
      </c>
      <c r="AN6" s="87">
        <v>0</v>
      </c>
      <c r="AO6" s="87">
        <v>25398.66</v>
      </c>
      <c r="AP6" s="87">
        <v>0</v>
      </c>
      <c r="AQ6" s="87">
        <v>1708.76</v>
      </c>
      <c r="AR6" s="87">
        <v>0</v>
      </c>
      <c r="AS6" s="87">
        <v>0</v>
      </c>
      <c r="AT6" s="87">
        <v>0</v>
      </c>
      <c r="AU6" s="87">
        <v>0</v>
      </c>
      <c r="AV6" s="87">
        <v>0</v>
      </c>
      <c r="AW6" s="87">
        <v>17730</v>
      </c>
      <c r="AX6" s="87"/>
      <c r="AY6" s="88">
        <f t="shared" si="1"/>
        <v>44837.42</v>
      </c>
      <c r="AZ6" s="88">
        <v>15000</v>
      </c>
      <c r="BA6" s="88">
        <v>25000</v>
      </c>
      <c r="BB6" s="89" t="s">
        <v>254</v>
      </c>
    </row>
    <row r="7" spans="1:54" x14ac:dyDescent="0.3">
      <c r="A7" s="50"/>
      <c r="B7" s="50"/>
      <c r="C7" s="50"/>
      <c r="D7" s="50"/>
      <c r="E7" s="50"/>
      <c r="F7" s="50" t="s">
        <v>275</v>
      </c>
      <c r="G7" s="50"/>
      <c r="H7" s="51">
        <v>0</v>
      </c>
      <c r="I7" s="51">
        <v>-965.01</v>
      </c>
      <c r="J7" s="51">
        <v>0</v>
      </c>
      <c r="K7" s="51">
        <v>0</v>
      </c>
      <c r="L7" s="51">
        <v>0</v>
      </c>
      <c r="M7" s="51">
        <v>0</v>
      </c>
      <c r="N7" s="51">
        <v>0</v>
      </c>
      <c r="O7" s="51">
        <v>0</v>
      </c>
      <c r="P7" s="51">
        <v>0</v>
      </c>
      <c r="Q7" s="51">
        <v>0</v>
      </c>
      <c r="R7" s="51">
        <v>0</v>
      </c>
      <c r="S7" s="51">
        <v>0</v>
      </c>
      <c r="T7" s="51"/>
      <c r="U7" s="51">
        <f t="shared" si="0"/>
        <v>-965.01</v>
      </c>
      <c r="V7" s="51">
        <v>0</v>
      </c>
      <c r="W7" s="51">
        <v>0</v>
      </c>
      <c r="AB7" s="86"/>
      <c r="AC7" s="86"/>
      <c r="AD7" s="86"/>
      <c r="AE7" s="86"/>
      <c r="AF7" s="86"/>
      <c r="AG7" s="86"/>
      <c r="AH7" s="87"/>
      <c r="AI7" s="87"/>
      <c r="AJ7" s="87"/>
      <c r="AK7" s="87"/>
      <c r="AL7" s="87"/>
      <c r="AM7" s="87"/>
      <c r="AN7" s="87"/>
      <c r="AO7" s="87"/>
      <c r="AP7" s="87"/>
      <c r="AQ7" s="87"/>
      <c r="AR7" s="87"/>
      <c r="AS7" s="87"/>
      <c r="AT7" s="87"/>
      <c r="AU7" s="87"/>
      <c r="AV7" s="87"/>
      <c r="AW7" s="87"/>
      <c r="AX7" s="87"/>
      <c r="AY7" s="88"/>
      <c r="AZ7" s="88"/>
      <c r="BA7" s="88"/>
      <c r="BB7" s="89"/>
    </row>
    <row r="8" spans="1:54" x14ac:dyDescent="0.3">
      <c r="A8" s="50"/>
      <c r="B8" s="50"/>
      <c r="C8" s="50"/>
      <c r="D8" s="50"/>
      <c r="E8" s="50"/>
      <c r="F8" s="50" t="s">
        <v>77</v>
      </c>
      <c r="G8" s="50"/>
      <c r="H8" s="51">
        <v>0</v>
      </c>
      <c r="I8" s="51">
        <v>0</v>
      </c>
      <c r="J8" s="51">
        <v>0</v>
      </c>
      <c r="K8" s="51">
        <v>0</v>
      </c>
      <c r="L8" s="51">
        <v>0</v>
      </c>
      <c r="M8" s="51">
        <v>0</v>
      </c>
      <c r="N8" s="51">
        <v>0</v>
      </c>
      <c r="O8" s="51">
        <v>0</v>
      </c>
      <c r="P8" s="51">
        <v>0</v>
      </c>
      <c r="Q8" s="51">
        <v>0</v>
      </c>
      <c r="R8" s="51">
        <v>0</v>
      </c>
      <c r="S8" s="51">
        <v>3049</v>
      </c>
      <c r="T8" s="51"/>
      <c r="U8" s="51">
        <f t="shared" si="0"/>
        <v>3049</v>
      </c>
      <c r="V8" s="67">
        <v>9600</v>
      </c>
      <c r="W8" s="67">
        <v>9600</v>
      </c>
      <c r="AB8" s="86"/>
      <c r="AC8" s="86"/>
      <c r="AD8" s="86"/>
      <c r="AE8" s="86"/>
      <c r="AF8" s="86" t="s">
        <v>77</v>
      </c>
      <c r="AG8" s="86"/>
      <c r="AH8" s="87"/>
      <c r="AI8" s="87"/>
      <c r="AJ8" s="87"/>
      <c r="AK8" s="87"/>
      <c r="AL8" s="87">
        <v>0</v>
      </c>
      <c r="AM8" s="87">
        <v>0</v>
      </c>
      <c r="AN8" s="87">
        <v>0</v>
      </c>
      <c r="AO8" s="87">
        <v>0</v>
      </c>
      <c r="AP8" s="87">
        <v>0</v>
      </c>
      <c r="AQ8" s="87">
        <v>0</v>
      </c>
      <c r="AR8" s="87">
        <v>3744.8</v>
      </c>
      <c r="AS8" s="87">
        <v>0</v>
      </c>
      <c r="AT8" s="87">
        <v>2285.4699999999998</v>
      </c>
      <c r="AU8" s="87">
        <v>0</v>
      </c>
      <c r="AV8" s="87">
        <v>3115.61</v>
      </c>
      <c r="AW8" s="87">
        <v>260</v>
      </c>
      <c r="AX8" s="87"/>
      <c r="AY8" s="88">
        <f t="shared" si="1"/>
        <v>9405.8799999999992</v>
      </c>
      <c r="AZ8" s="88">
        <v>9000</v>
      </c>
      <c r="BA8" s="88">
        <v>9600</v>
      </c>
      <c r="BB8" s="89" t="s">
        <v>254</v>
      </c>
    </row>
    <row r="9" spans="1:54" x14ac:dyDescent="0.3">
      <c r="A9" s="50"/>
      <c r="B9" s="50"/>
      <c r="C9" s="50"/>
      <c r="D9" s="50"/>
      <c r="E9" s="50"/>
      <c r="F9" s="50" t="s">
        <v>78</v>
      </c>
      <c r="G9" s="50"/>
      <c r="H9" s="51">
        <v>0</v>
      </c>
      <c r="I9" s="51">
        <v>511.88</v>
      </c>
      <c r="J9" s="51">
        <v>0</v>
      </c>
      <c r="K9" s="51">
        <v>0</v>
      </c>
      <c r="L9" s="51">
        <v>0</v>
      </c>
      <c r="M9" s="51">
        <v>0</v>
      </c>
      <c r="N9" s="51">
        <v>0</v>
      </c>
      <c r="O9" s="51">
        <v>8608.42</v>
      </c>
      <c r="P9" s="51">
        <v>1439.07</v>
      </c>
      <c r="Q9" s="51">
        <v>0</v>
      </c>
      <c r="R9" s="51">
        <v>0</v>
      </c>
      <c r="S9" s="51">
        <v>0</v>
      </c>
      <c r="T9" s="51"/>
      <c r="U9" s="51">
        <f t="shared" si="0"/>
        <v>10559.37</v>
      </c>
      <c r="V9" s="67">
        <v>4500</v>
      </c>
      <c r="W9" s="67">
        <v>4500</v>
      </c>
      <c r="AB9" s="86"/>
      <c r="AC9" s="86"/>
      <c r="AD9" s="86"/>
      <c r="AE9" s="86"/>
      <c r="AF9" s="86" t="s">
        <v>78</v>
      </c>
      <c r="AG9" s="86"/>
      <c r="AH9" s="87"/>
      <c r="AI9" s="87"/>
      <c r="AJ9" s="87"/>
      <c r="AK9" s="87"/>
      <c r="AL9" s="87">
        <v>0</v>
      </c>
      <c r="AM9" s="87">
        <v>0</v>
      </c>
      <c r="AN9" s="87">
        <v>0</v>
      </c>
      <c r="AO9" s="87">
        <v>0</v>
      </c>
      <c r="AP9" s="87">
        <v>0</v>
      </c>
      <c r="AQ9" s="87">
        <v>0</v>
      </c>
      <c r="AR9" s="87">
        <v>3829.4</v>
      </c>
      <c r="AS9" s="87">
        <v>0</v>
      </c>
      <c r="AT9" s="87">
        <v>644.45000000000005</v>
      </c>
      <c r="AU9" s="87">
        <v>0</v>
      </c>
      <c r="AV9" s="87">
        <v>0</v>
      </c>
      <c r="AW9" s="87">
        <v>2014.63</v>
      </c>
      <c r="AX9" s="87"/>
      <c r="AY9" s="88">
        <f t="shared" si="1"/>
        <v>6488.48</v>
      </c>
      <c r="AZ9" s="88">
        <v>3500</v>
      </c>
      <c r="BA9" s="88">
        <v>4500</v>
      </c>
      <c r="BB9" s="89" t="s">
        <v>254</v>
      </c>
    </row>
    <row r="10" spans="1:54" x14ac:dyDescent="0.3">
      <c r="A10" s="50"/>
      <c r="B10" s="50"/>
      <c r="C10" s="50"/>
      <c r="D10" s="50"/>
      <c r="E10" s="50"/>
      <c r="F10" s="50" t="s">
        <v>79</v>
      </c>
      <c r="G10" s="50"/>
      <c r="H10" s="51">
        <v>0</v>
      </c>
      <c r="I10" s="51">
        <v>0</v>
      </c>
      <c r="J10" s="51">
        <v>0</v>
      </c>
      <c r="K10" s="51">
        <v>0</v>
      </c>
      <c r="L10" s="51">
        <v>0</v>
      </c>
      <c r="M10" s="51">
        <v>0</v>
      </c>
      <c r="N10" s="51">
        <v>0</v>
      </c>
      <c r="O10" s="51">
        <v>0</v>
      </c>
      <c r="P10" s="51">
        <v>0</v>
      </c>
      <c r="Q10" s="51">
        <v>0</v>
      </c>
      <c r="R10" s="51">
        <v>0</v>
      </c>
      <c r="S10" s="51">
        <v>-4890</v>
      </c>
      <c r="T10" s="51"/>
      <c r="U10" s="51">
        <f t="shared" si="0"/>
        <v>-4890</v>
      </c>
      <c r="V10" s="67">
        <v>10000</v>
      </c>
      <c r="W10" s="67">
        <v>10000</v>
      </c>
      <c r="AB10" s="86"/>
      <c r="AC10" s="86"/>
      <c r="AD10" s="86"/>
      <c r="AE10" s="86"/>
      <c r="AF10" s="86" t="s">
        <v>79</v>
      </c>
      <c r="AG10" s="86"/>
      <c r="AH10" s="87"/>
      <c r="AI10" s="87"/>
      <c r="AJ10" s="87"/>
      <c r="AK10" s="87"/>
      <c r="AL10" s="87">
        <v>0</v>
      </c>
      <c r="AM10" s="87">
        <v>0</v>
      </c>
      <c r="AN10" s="87">
        <v>0</v>
      </c>
      <c r="AO10" s="87">
        <v>4889.55</v>
      </c>
      <c r="AP10" s="87">
        <v>0</v>
      </c>
      <c r="AQ10" s="87">
        <v>0</v>
      </c>
      <c r="AR10" s="87">
        <v>0</v>
      </c>
      <c r="AS10" s="87">
        <v>0</v>
      </c>
      <c r="AT10" s="87">
        <v>0</v>
      </c>
      <c r="AU10" s="87">
        <v>0</v>
      </c>
      <c r="AV10" s="87">
        <v>0</v>
      </c>
      <c r="AW10" s="87">
        <v>-1639</v>
      </c>
      <c r="AX10" s="87"/>
      <c r="AY10" s="88">
        <f t="shared" si="1"/>
        <v>3250.55</v>
      </c>
      <c r="AZ10" s="88">
        <v>10000</v>
      </c>
      <c r="BA10" s="88">
        <v>10000</v>
      </c>
      <c r="BB10" s="89"/>
    </row>
    <row r="11" spans="1:54" x14ac:dyDescent="0.3">
      <c r="A11" s="50"/>
      <c r="B11" s="50"/>
      <c r="C11" s="50"/>
      <c r="D11" s="50"/>
      <c r="E11" s="50"/>
      <c r="F11" s="50" t="s">
        <v>80</v>
      </c>
      <c r="G11" s="50"/>
      <c r="H11" s="51">
        <v>0</v>
      </c>
      <c r="I11" s="51">
        <v>0</v>
      </c>
      <c r="J11" s="51">
        <v>0</v>
      </c>
      <c r="K11" s="51">
        <v>0</v>
      </c>
      <c r="L11" s="51">
        <v>0</v>
      </c>
      <c r="M11" s="51">
        <v>48208.65</v>
      </c>
      <c r="N11" s="51">
        <v>0</v>
      </c>
      <c r="O11" s="51">
        <v>0</v>
      </c>
      <c r="P11" s="51">
        <v>0</v>
      </c>
      <c r="Q11" s="51">
        <v>0</v>
      </c>
      <c r="R11" s="51">
        <v>49655.95</v>
      </c>
      <c r="S11" s="51">
        <v>0</v>
      </c>
      <c r="T11" s="51"/>
      <c r="U11" s="51">
        <f t="shared" si="0"/>
        <v>97864.6</v>
      </c>
      <c r="V11" s="67">
        <v>40000</v>
      </c>
      <c r="W11" s="67">
        <v>40000</v>
      </c>
      <c r="AB11" s="86"/>
      <c r="AC11" s="86"/>
      <c r="AD11" s="86"/>
      <c r="AE11" s="86"/>
      <c r="AF11" s="86" t="s">
        <v>80</v>
      </c>
      <c r="AG11" s="86"/>
      <c r="AH11" s="87"/>
      <c r="AI11" s="87"/>
      <c r="AJ11" s="87"/>
      <c r="AK11" s="87"/>
      <c r="AL11" s="87">
        <v>0</v>
      </c>
      <c r="AM11" s="87">
        <v>0</v>
      </c>
      <c r="AN11" s="87">
        <v>0</v>
      </c>
      <c r="AO11" s="87">
        <v>0</v>
      </c>
      <c r="AP11" s="87">
        <v>0</v>
      </c>
      <c r="AQ11" s="87">
        <v>0</v>
      </c>
      <c r="AR11" s="87">
        <v>43513.8</v>
      </c>
      <c r="AS11" s="87">
        <v>0</v>
      </c>
      <c r="AT11" s="87">
        <v>0</v>
      </c>
      <c r="AU11" s="87">
        <v>0</v>
      </c>
      <c r="AV11" s="87">
        <v>0</v>
      </c>
      <c r="AW11" s="87">
        <v>41834.04</v>
      </c>
      <c r="AX11" s="87"/>
      <c r="AY11" s="88">
        <f t="shared" si="1"/>
        <v>85347.839999999997</v>
      </c>
      <c r="AZ11" s="88">
        <v>40000</v>
      </c>
      <c r="BA11" s="88">
        <v>40000</v>
      </c>
      <c r="BB11" s="89"/>
    </row>
    <row r="12" spans="1:54" x14ac:dyDescent="0.3">
      <c r="A12" s="50"/>
      <c r="B12" s="50"/>
      <c r="C12" s="50"/>
      <c r="D12" s="50"/>
      <c r="E12" s="50"/>
      <c r="F12" s="50" t="s">
        <v>81</v>
      </c>
      <c r="G12" s="50"/>
      <c r="H12" s="51">
        <v>0</v>
      </c>
      <c r="I12" s="51">
        <v>0</v>
      </c>
      <c r="J12" s="51">
        <v>0</v>
      </c>
      <c r="K12" s="51">
        <v>0</v>
      </c>
      <c r="L12" s="51">
        <v>0</v>
      </c>
      <c r="M12" s="51">
        <v>934.92</v>
      </c>
      <c r="N12" s="51">
        <v>2181.48</v>
      </c>
      <c r="O12" s="51">
        <v>0</v>
      </c>
      <c r="P12" s="51">
        <v>0</v>
      </c>
      <c r="Q12" s="51">
        <v>0</v>
      </c>
      <c r="R12" s="51">
        <v>2181.67</v>
      </c>
      <c r="S12" s="51">
        <v>4023.37</v>
      </c>
      <c r="T12" s="51"/>
      <c r="U12" s="51">
        <f t="shared" si="0"/>
        <v>9321.44</v>
      </c>
      <c r="V12" s="67">
        <v>4000</v>
      </c>
      <c r="W12" s="67">
        <v>4000</v>
      </c>
      <c r="AB12" s="86"/>
      <c r="AC12" s="86"/>
      <c r="AD12" s="86"/>
      <c r="AE12" s="86"/>
      <c r="AF12" s="86" t="s">
        <v>81</v>
      </c>
      <c r="AG12" s="86"/>
      <c r="AH12" s="87"/>
      <c r="AI12" s="87"/>
      <c r="AJ12" s="87"/>
      <c r="AK12" s="87"/>
      <c r="AL12" s="87">
        <v>0</v>
      </c>
      <c r="AM12" s="87">
        <v>0</v>
      </c>
      <c r="AN12" s="87">
        <v>0</v>
      </c>
      <c r="AO12" s="87">
        <v>0</v>
      </c>
      <c r="AP12" s="87">
        <v>0</v>
      </c>
      <c r="AQ12" s="87">
        <v>0</v>
      </c>
      <c r="AR12" s="87">
        <v>0</v>
      </c>
      <c r="AS12" s="87">
        <v>0</v>
      </c>
      <c r="AT12" s="87">
        <v>0</v>
      </c>
      <c r="AU12" s="87">
        <v>0</v>
      </c>
      <c r="AV12" s="87">
        <v>2208.9</v>
      </c>
      <c r="AW12" s="87">
        <v>946.84</v>
      </c>
      <c r="AX12" s="87"/>
      <c r="AY12" s="88">
        <f t="shared" si="1"/>
        <v>3155.74</v>
      </c>
      <c r="AZ12" s="88">
        <v>7000</v>
      </c>
      <c r="BA12" s="88">
        <v>4000</v>
      </c>
      <c r="BB12" s="89"/>
    </row>
    <row r="13" spans="1:54" x14ac:dyDescent="0.3">
      <c r="A13" s="50"/>
      <c r="B13" s="50"/>
      <c r="C13" s="50"/>
      <c r="D13" s="50"/>
      <c r="E13" s="50"/>
      <c r="F13" s="50" t="s">
        <v>82</v>
      </c>
      <c r="G13" s="50"/>
      <c r="H13" s="51">
        <v>0</v>
      </c>
      <c r="I13" s="51">
        <v>-0.37</v>
      </c>
      <c r="J13" s="51">
        <v>0</v>
      </c>
      <c r="K13" s="51">
        <v>0</v>
      </c>
      <c r="L13" s="51">
        <v>0</v>
      </c>
      <c r="M13" s="51">
        <v>0</v>
      </c>
      <c r="N13" s="51">
        <v>0</v>
      </c>
      <c r="O13" s="51">
        <v>5630.34</v>
      </c>
      <c r="P13" s="51">
        <v>0</v>
      </c>
      <c r="Q13" s="51">
        <v>0</v>
      </c>
      <c r="R13" s="51">
        <v>5460.53</v>
      </c>
      <c r="S13" s="51">
        <v>0</v>
      </c>
      <c r="T13" s="51"/>
      <c r="U13" s="51">
        <f t="shared" si="0"/>
        <v>11090.5</v>
      </c>
      <c r="V13" s="67">
        <v>10500</v>
      </c>
      <c r="W13" s="67">
        <v>10500</v>
      </c>
      <c r="AB13" s="86"/>
      <c r="AC13" s="86"/>
      <c r="AD13" s="86"/>
      <c r="AE13" s="86"/>
      <c r="AF13" s="86" t="s">
        <v>82</v>
      </c>
      <c r="AG13" s="86"/>
      <c r="AH13" s="87"/>
      <c r="AI13" s="87"/>
      <c r="AJ13" s="87"/>
      <c r="AK13" s="87"/>
      <c r="AL13" s="87">
        <v>0</v>
      </c>
      <c r="AM13" s="87">
        <v>0</v>
      </c>
      <c r="AN13" s="87">
        <v>0</v>
      </c>
      <c r="AO13" s="87">
        <v>0</v>
      </c>
      <c r="AP13" s="87">
        <v>0</v>
      </c>
      <c r="AQ13" s="87">
        <v>0</v>
      </c>
      <c r="AR13" s="87">
        <v>5671.54</v>
      </c>
      <c r="AS13" s="87">
        <v>0</v>
      </c>
      <c r="AT13" s="87">
        <v>0</v>
      </c>
      <c r="AU13" s="87">
        <v>0</v>
      </c>
      <c r="AV13" s="87">
        <v>4670.6000000000004</v>
      </c>
      <c r="AW13" s="87">
        <v>143</v>
      </c>
      <c r="AX13" s="87"/>
      <c r="AY13" s="88">
        <f t="shared" si="1"/>
        <v>10485.14</v>
      </c>
      <c r="AZ13" s="88">
        <v>10000</v>
      </c>
      <c r="BA13" s="88">
        <v>10500</v>
      </c>
      <c r="BB13" s="89"/>
    </row>
    <row r="14" spans="1:54" ht="15" thickBot="1" x14ac:dyDescent="0.35">
      <c r="A14" s="50"/>
      <c r="B14" s="50"/>
      <c r="C14" s="50"/>
      <c r="D14" s="50"/>
      <c r="E14" s="50"/>
      <c r="F14" s="50" t="s">
        <v>83</v>
      </c>
      <c r="G14" s="50"/>
      <c r="H14" s="52">
        <v>0</v>
      </c>
      <c r="I14" s="52">
        <v>0</v>
      </c>
      <c r="J14" s="52">
        <v>0</v>
      </c>
      <c r="K14" s="52">
        <v>0</v>
      </c>
      <c r="L14" s="52">
        <v>0</v>
      </c>
      <c r="M14" s="52">
        <v>0</v>
      </c>
      <c r="N14" s="52">
        <v>0</v>
      </c>
      <c r="O14" s="52">
        <v>115.4</v>
      </c>
      <c r="P14" s="52">
        <v>0</v>
      </c>
      <c r="Q14" s="52">
        <v>0</v>
      </c>
      <c r="R14" s="52">
        <v>0</v>
      </c>
      <c r="S14" s="52">
        <v>-115.63</v>
      </c>
      <c r="T14" s="52"/>
      <c r="U14" s="52">
        <f t="shared" si="0"/>
        <v>-0.23</v>
      </c>
      <c r="V14" s="69">
        <v>200</v>
      </c>
      <c r="W14" s="69">
        <v>200</v>
      </c>
      <c r="AB14" s="86"/>
      <c r="AC14" s="86"/>
      <c r="AD14" s="86"/>
      <c r="AE14" s="86" t="s">
        <v>84</v>
      </c>
      <c r="AF14" s="86" t="s">
        <v>83</v>
      </c>
      <c r="AG14" s="86"/>
      <c r="AH14" s="90"/>
      <c r="AI14" s="90"/>
      <c r="AJ14" s="90"/>
      <c r="AK14" s="90"/>
      <c r="AL14" s="90">
        <v>0</v>
      </c>
      <c r="AM14" s="90">
        <v>0</v>
      </c>
      <c r="AN14" s="90">
        <v>0</v>
      </c>
      <c r="AO14" s="90">
        <v>0</v>
      </c>
      <c r="AP14" s="90">
        <v>0</v>
      </c>
      <c r="AQ14" s="90">
        <v>115.4</v>
      </c>
      <c r="AR14" s="90">
        <v>0</v>
      </c>
      <c r="AS14" s="90">
        <v>0</v>
      </c>
      <c r="AT14" s="90">
        <v>0</v>
      </c>
      <c r="AU14" s="90">
        <v>0</v>
      </c>
      <c r="AV14" s="90">
        <v>0</v>
      </c>
      <c r="AW14" s="90">
        <v>0</v>
      </c>
      <c r="AX14" s="90"/>
      <c r="AY14" s="91">
        <f t="shared" si="1"/>
        <v>115.4</v>
      </c>
      <c r="AZ14" s="91">
        <v>200</v>
      </c>
      <c r="BA14" s="91">
        <v>200</v>
      </c>
      <c r="BB14" s="92"/>
    </row>
    <row r="15" spans="1:54" x14ac:dyDescent="0.3">
      <c r="A15" s="50"/>
      <c r="B15" s="50"/>
      <c r="C15" s="50"/>
      <c r="D15" s="50"/>
      <c r="E15" s="50" t="s">
        <v>84</v>
      </c>
      <c r="F15" s="50"/>
      <c r="G15" s="50"/>
      <c r="H15" s="51">
        <f t="shared" ref="H15:P15" si="2">ROUND(SUM(H4:H14),5)</f>
        <v>0</v>
      </c>
      <c r="I15" s="51">
        <f t="shared" si="2"/>
        <v>1801.7</v>
      </c>
      <c r="J15" s="51">
        <f t="shared" si="2"/>
        <v>0</v>
      </c>
      <c r="K15" s="51">
        <f t="shared" si="2"/>
        <v>38750.339999999997</v>
      </c>
      <c r="L15" s="51">
        <f t="shared" si="2"/>
        <v>-1558.69</v>
      </c>
      <c r="M15" s="51">
        <f t="shared" si="2"/>
        <v>257102.02</v>
      </c>
      <c r="N15" s="51">
        <f t="shared" si="2"/>
        <v>170796.06</v>
      </c>
      <c r="O15" s="51">
        <f t="shared" si="2"/>
        <v>14354.16</v>
      </c>
      <c r="P15" s="51">
        <f t="shared" si="2"/>
        <v>5586.23</v>
      </c>
      <c r="Q15" s="51">
        <f>ROUND(SUM(Q4:Q14),5)</f>
        <v>69317.960000000006</v>
      </c>
      <c r="R15" s="51">
        <f>ROUND(SUM(R4:R14),5)</f>
        <v>264960.24</v>
      </c>
      <c r="S15" s="51">
        <f>ROUND(SUM(S4:S14),5)</f>
        <v>20943.740000000002</v>
      </c>
      <c r="T15" s="51"/>
      <c r="U15" s="51">
        <f t="shared" si="0"/>
        <v>842053.76</v>
      </c>
      <c r="V15" s="51">
        <f>ROUND(SUM(V4:V14),5)</f>
        <v>766800</v>
      </c>
      <c r="W15" s="51">
        <f>ROUND(SUM(W4:W14),5)</f>
        <v>800000</v>
      </c>
      <c r="X15" s="68" t="s">
        <v>304</v>
      </c>
      <c r="AB15" s="86"/>
      <c r="AC15" s="86"/>
      <c r="AD15" s="86"/>
      <c r="AE15" s="86" t="s">
        <v>85</v>
      </c>
      <c r="AF15" s="86"/>
      <c r="AG15" s="86"/>
      <c r="AH15" s="87"/>
      <c r="AI15" s="87"/>
      <c r="AJ15" s="87"/>
      <c r="AK15" s="87"/>
      <c r="AL15" s="87">
        <f t="shared" ref="AL15:AW15" si="3">ROUND(SUM(AL4:AL14),5)</f>
        <v>-4000.33</v>
      </c>
      <c r="AM15" s="87">
        <f t="shared" si="3"/>
        <v>0</v>
      </c>
      <c r="AN15" s="87">
        <f t="shared" si="3"/>
        <v>0</v>
      </c>
      <c r="AO15" s="87">
        <f t="shared" si="3"/>
        <v>30288.21</v>
      </c>
      <c r="AP15" s="87">
        <f t="shared" si="3"/>
        <v>0</v>
      </c>
      <c r="AQ15" s="87">
        <f t="shared" si="3"/>
        <v>199846.88</v>
      </c>
      <c r="AR15" s="87">
        <f t="shared" si="3"/>
        <v>212947.13</v>
      </c>
      <c r="AS15" s="87">
        <f t="shared" si="3"/>
        <v>3095.51</v>
      </c>
      <c r="AT15" s="87">
        <f t="shared" si="3"/>
        <v>2929.92</v>
      </c>
      <c r="AU15" s="87">
        <f t="shared" si="3"/>
        <v>66007.55</v>
      </c>
      <c r="AV15" s="87">
        <f t="shared" si="3"/>
        <v>200776.27</v>
      </c>
      <c r="AW15" s="87">
        <f t="shared" si="3"/>
        <v>75196.509999999995</v>
      </c>
      <c r="AX15" s="87"/>
      <c r="AY15" s="88">
        <f t="shared" si="1"/>
        <v>787087.65</v>
      </c>
      <c r="AZ15" s="88">
        <f>ROUND(SUM(AZ4:AZ14),5)</f>
        <v>720000</v>
      </c>
      <c r="BA15" s="88">
        <f>ROUND(SUM(BA4:BA14),5)</f>
        <v>766800</v>
      </c>
      <c r="BB15" s="89"/>
    </row>
    <row r="16" spans="1:54" x14ac:dyDescent="0.3">
      <c r="A16" s="50"/>
      <c r="B16" s="50"/>
      <c r="C16" s="50"/>
      <c r="D16" s="50"/>
      <c r="E16" s="50" t="s">
        <v>85</v>
      </c>
      <c r="F16" s="50"/>
      <c r="G16" s="50"/>
      <c r="H16" s="51"/>
      <c r="I16" s="51"/>
      <c r="J16" s="51"/>
      <c r="K16" s="51"/>
      <c r="L16" s="51"/>
      <c r="M16" s="51"/>
      <c r="N16" s="51"/>
      <c r="O16" s="51"/>
      <c r="P16" s="51"/>
      <c r="Q16" s="51"/>
      <c r="R16" s="51"/>
      <c r="S16" s="51"/>
      <c r="T16" s="51"/>
      <c r="U16" s="51"/>
      <c r="V16" s="51"/>
      <c r="W16" s="51"/>
      <c r="AB16" s="86"/>
      <c r="AC16" s="86"/>
      <c r="AD16" s="86"/>
      <c r="AE16" s="86"/>
      <c r="AF16" s="86"/>
      <c r="AG16" s="86"/>
      <c r="AH16" s="87"/>
      <c r="AI16" s="87"/>
      <c r="AJ16" s="87"/>
      <c r="AK16" s="87"/>
      <c r="AL16" s="87"/>
      <c r="AM16" s="87"/>
      <c r="AN16" s="87"/>
      <c r="AO16" s="87"/>
      <c r="AP16" s="87"/>
      <c r="AQ16" s="87"/>
      <c r="AR16" s="87"/>
      <c r="AS16" s="87"/>
      <c r="AT16" s="87"/>
      <c r="AU16" s="87"/>
      <c r="AV16" s="87"/>
      <c r="AW16" s="87"/>
      <c r="AX16" s="87"/>
      <c r="AY16" s="88"/>
      <c r="AZ16" s="88"/>
      <c r="BA16" s="88"/>
      <c r="BB16" s="89"/>
    </row>
    <row r="17" spans="1:54" x14ac:dyDescent="0.3">
      <c r="A17" s="50"/>
      <c r="B17" s="50"/>
      <c r="C17" s="50"/>
      <c r="D17" s="50"/>
      <c r="E17" s="50"/>
      <c r="F17" s="50" t="s">
        <v>86</v>
      </c>
      <c r="G17" s="50"/>
      <c r="H17" s="51">
        <v>518.41</v>
      </c>
      <c r="I17" s="51">
        <v>535.54999999999995</v>
      </c>
      <c r="J17" s="51">
        <v>500.23</v>
      </c>
      <c r="K17" s="51">
        <v>420.94</v>
      </c>
      <c r="L17" s="51">
        <v>405.16</v>
      </c>
      <c r="M17" s="51">
        <v>400.79</v>
      </c>
      <c r="N17" s="51">
        <v>586.54</v>
      </c>
      <c r="O17" s="51">
        <v>488.6</v>
      </c>
      <c r="P17" s="51">
        <v>447.88</v>
      </c>
      <c r="Q17" s="51">
        <v>638.1</v>
      </c>
      <c r="R17" s="51">
        <v>748.83</v>
      </c>
      <c r="S17" s="51">
        <v>432.04</v>
      </c>
      <c r="T17" s="51"/>
      <c r="U17" s="51">
        <f t="shared" ref="U17:U22" si="4">ROUND(SUM(H17:T17),5)</f>
        <v>6123.07</v>
      </c>
      <c r="V17" s="67">
        <v>10000</v>
      </c>
      <c r="W17" s="67">
        <v>5000</v>
      </c>
      <c r="X17" s="68" t="s">
        <v>292</v>
      </c>
      <c r="AB17" s="86"/>
      <c r="AC17" s="86"/>
      <c r="AD17" s="86"/>
      <c r="AE17" s="86"/>
      <c r="AF17" s="86" t="s">
        <v>86</v>
      </c>
      <c r="AG17" s="86"/>
      <c r="AH17" s="87"/>
      <c r="AI17" s="87"/>
      <c r="AJ17" s="87"/>
      <c r="AK17" s="87"/>
      <c r="AL17" s="87">
        <v>603.74</v>
      </c>
      <c r="AM17" s="87">
        <v>636.47</v>
      </c>
      <c r="AN17" s="87">
        <v>550.29999999999995</v>
      </c>
      <c r="AO17" s="87">
        <v>512.91999999999996</v>
      </c>
      <c r="AP17" s="87">
        <v>505.03</v>
      </c>
      <c r="AQ17" s="87">
        <v>452.33</v>
      </c>
      <c r="AR17" s="87">
        <v>7314.37</v>
      </c>
      <c r="AS17" s="87">
        <v>420.5</v>
      </c>
      <c r="AT17" s="87">
        <v>378.15</v>
      </c>
      <c r="AU17" s="87">
        <v>381.98</v>
      </c>
      <c r="AV17" s="87">
        <v>954.87</v>
      </c>
      <c r="AW17" s="87">
        <v>652.66</v>
      </c>
      <c r="AX17" s="87"/>
      <c r="AY17" s="88">
        <f t="shared" ref="AY17:AY22" si="5">ROUND(SUM(AH17:AX17),5)</f>
        <v>13363.32</v>
      </c>
      <c r="AZ17" s="88">
        <v>4000</v>
      </c>
      <c r="BA17" s="88">
        <v>10000</v>
      </c>
      <c r="BB17" s="89" t="s">
        <v>247</v>
      </c>
    </row>
    <row r="18" spans="1:54" x14ac:dyDescent="0.3">
      <c r="A18" s="50"/>
      <c r="B18" s="50"/>
      <c r="C18" s="50"/>
      <c r="D18" s="50"/>
      <c r="E18" s="50"/>
      <c r="F18" s="50" t="s">
        <v>87</v>
      </c>
      <c r="G18" s="50"/>
      <c r="H18" s="51">
        <v>16526.73</v>
      </c>
      <c r="I18" s="51">
        <v>5579.79</v>
      </c>
      <c r="J18" s="51">
        <v>5481.74</v>
      </c>
      <c r="K18" s="51">
        <v>5047.42</v>
      </c>
      <c r="L18" s="51">
        <v>6660.43</v>
      </c>
      <c r="M18" s="51">
        <v>5928.96</v>
      </c>
      <c r="N18" s="51">
        <v>5063.93</v>
      </c>
      <c r="O18" s="51">
        <v>6238.12</v>
      </c>
      <c r="P18" s="51">
        <v>8630.35</v>
      </c>
      <c r="Q18" s="51">
        <v>3905.15</v>
      </c>
      <c r="R18" s="51">
        <v>7105.54</v>
      </c>
      <c r="S18" s="51">
        <v>0</v>
      </c>
      <c r="T18" s="51"/>
      <c r="U18" s="51">
        <f t="shared" si="4"/>
        <v>76168.160000000003</v>
      </c>
      <c r="V18" s="67">
        <v>50000</v>
      </c>
      <c r="W18" s="67">
        <f>70000-1100</f>
        <v>68900</v>
      </c>
      <c r="X18" s="68" t="s">
        <v>293</v>
      </c>
      <c r="AB18" s="86"/>
      <c r="AC18" s="86"/>
      <c r="AD18" s="86"/>
      <c r="AE18" s="86"/>
      <c r="AF18" s="86" t="s">
        <v>87</v>
      </c>
      <c r="AG18" s="86"/>
      <c r="AH18" s="87"/>
      <c r="AI18" s="87"/>
      <c r="AJ18" s="87"/>
      <c r="AK18" s="87"/>
      <c r="AL18" s="87">
        <v>4709.55</v>
      </c>
      <c r="AM18" s="87">
        <v>9565.7900000000009</v>
      </c>
      <c r="AN18" s="87">
        <v>-941.62</v>
      </c>
      <c r="AO18" s="87">
        <v>8144.95</v>
      </c>
      <c r="AP18" s="87">
        <v>6079.05</v>
      </c>
      <c r="AQ18" s="87">
        <v>4930.87</v>
      </c>
      <c r="AR18" s="87">
        <v>4937.05</v>
      </c>
      <c r="AS18" s="87">
        <v>4807.21</v>
      </c>
      <c r="AT18" s="87">
        <v>4995.72</v>
      </c>
      <c r="AU18" s="87">
        <v>6212.36</v>
      </c>
      <c r="AV18" s="87">
        <v>5047.13</v>
      </c>
      <c r="AW18" s="87">
        <v>5522.27</v>
      </c>
      <c r="AX18" s="87"/>
      <c r="AY18" s="88">
        <f t="shared" si="5"/>
        <v>64010.33</v>
      </c>
      <c r="AZ18" s="88">
        <v>40000</v>
      </c>
      <c r="BA18" s="88">
        <v>50000</v>
      </c>
      <c r="BB18" s="89"/>
    </row>
    <row r="19" spans="1:54" x14ac:dyDescent="0.3">
      <c r="A19" s="50"/>
      <c r="B19" s="50"/>
      <c r="C19" s="50"/>
      <c r="D19" s="50"/>
      <c r="E19" s="50"/>
      <c r="F19" s="50" t="s">
        <v>88</v>
      </c>
      <c r="G19" s="50"/>
      <c r="H19" s="51">
        <v>0</v>
      </c>
      <c r="I19" s="51">
        <v>0</v>
      </c>
      <c r="J19" s="51">
        <v>526.76</v>
      </c>
      <c r="K19" s="51">
        <v>95.47</v>
      </c>
      <c r="L19" s="51">
        <v>0</v>
      </c>
      <c r="M19" s="51">
        <v>432.49</v>
      </c>
      <c r="N19" s="51">
        <v>60.53</v>
      </c>
      <c r="O19" s="51">
        <v>0</v>
      </c>
      <c r="P19" s="51">
        <v>579.15</v>
      </c>
      <c r="Q19" s="51">
        <v>26.9</v>
      </c>
      <c r="R19" s="51">
        <v>0</v>
      </c>
      <c r="S19" s="51">
        <v>0</v>
      </c>
      <c r="T19" s="51"/>
      <c r="U19" s="51">
        <f t="shared" si="4"/>
        <v>1721.3</v>
      </c>
      <c r="V19" s="67">
        <v>10000</v>
      </c>
      <c r="W19" s="67">
        <v>5000</v>
      </c>
      <c r="AB19" s="86"/>
      <c r="AC19" s="86"/>
      <c r="AD19" s="86"/>
      <c r="AE19" s="86"/>
      <c r="AF19" s="86" t="s">
        <v>88</v>
      </c>
      <c r="AG19" s="86"/>
      <c r="AH19" s="87"/>
      <c r="AI19" s="87"/>
      <c r="AJ19" s="87"/>
      <c r="AK19" s="87"/>
      <c r="AL19" s="87">
        <v>0</v>
      </c>
      <c r="AM19" s="87">
        <v>0</v>
      </c>
      <c r="AN19" s="87">
        <v>2382.91</v>
      </c>
      <c r="AO19" s="87">
        <v>164.98</v>
      </c>
      <c r="AP19" s="87">
        <v>0</v>
      </c>
      <c r="AQ19" s="87">
        <v>1779.4</v>
      </c>
      <c r="AR19" s="87">
        <v>208.6</v>
      </c>
      <c r="AS19" s="87">
        <v>0</v>
      </c>
      <c r="AT19" s="87">
        <v>1194.3699999999999</v>
      </c>
      <c r="AU19" s="87">
        <v>83.37</v>
      </c>
      <c r="AV19" s="87">
        <v>0</v>
      </c>
      <c r="AW19" s="87">
        <v>5126.62</v>
      </c>
      <c r="AX19" s="87"/>
      <c r="AY19" s="88">
        <f t="shared" si="5"/>
        <v>10940.25</v>
      </c>
      <c r="AZ19" s="88">
        <v>13000</v>
      </c>
      <c r="BA19" s="88">
        <v>10000</v>
      </c>
      <c r="BB19" s="89" t="s">
        <v>247</v>
      </c>
    </row>
    <row r="20" spans="1:54" x14ac:dyDescent="0.3">
      <c r="A20" s="50"/>
      <c r="B20" s="50"/>
      <c r="C20" s="50"/>
      <c r="D20" s="50"/>
      <c r="E20" s="50"/>
      <c r="F20" s="50" t="s">
        <v>89</v>
      </c>
      <c r="G20" s="50"/>
      <c r="H20" s="51">
        <v>0</v>
      </c>
      <c r="I20" s="51">
        <v>0</v>
      </c>
      <c r="J20" s="51">
        <v>28.45</v>
      </c>
      <c r="K20" s="51">
        <v>5.08</v>
      </c>
      <c r="L20" s="51">
        <v>0</v>
      </c>
      <c r="M20" s="51">
        <v>23.02</v>
      </c>
      <c r="N20" s="51">
        <v>5.04</v>
      </c>
      <c r="O20" s="51">
        <v>0</v>
      </c>
      <c r="P20" s="51">
        <v>48.23</v>
      </c>
      <c r="Q20" s="51">
        <v>2.2000000000000002</v>
      </c>
      <c r="R20" s="51">
        <v>0</v>
      </c>
      <c r="S20" s="51">
        <v>0</v>
      </c>
      <c r="T20" s="51"/>
      <c r="U20" s="51">
        <f t="shared" si="4"/>
        <v>112.02</v>
      </c>
      <c r="V20" s="67">
        <v>1000</v>
      </c>
      <c r="W20" s="67">
        <v>100</v>
      </c>
      <c r="AB20" s="86"/>
      <c r="AC20" s="86"/>
      <c r="AD20" s="86"/>
      <c r="AE20" s="86"/>
      <c r="AF20" s="86" t="s">
        <v>89</v>
      </c>
      <c r="AG20" s="86"/>
      <c r="AH20" s="87"/>
      <c r="AI20" s="87"/>
      <c r="AJ20" s="87"/>
      <c r="AK20" s="87"/>
      <c r="AL20" s="87">
        <v>-854</v>
      </c>
      <c r="AM20" s="87">
        <v>0</v>
      </c>
      <c r="AN20" s="87">
        <v>541.74</v>
      </c>
      <c r="AO20" s="87">
        <v>38.130000000000003</v>
      </c>
      <c r="AP20" s="87">
        <v>0</v>
      </c>
      <c r="AQ20" s="87">
        <v>411.31</v>
      </c>
      <c r="AR20" s="87">
        <v>53.48</v>
      </c>
      <c r="AS20" s="87">
        <v>0</v>
      </c>
      <c r="AT20" s="87">
        <v>306.22000000000003</v>
      </c>
      <c r="AU20" s="87">
        <v>19.61</v>
      </c>
      <c r="AV20" s="87">
        <v>0</v>
      </c>
      <c r="AW20" s="87">
        <v>816.59</v>
      </c>
      <c r="AX20" s="87"/>
      <c r="AY20" s="88">
        <f t="shared" si="5"/>
        <v>1333.08</v>
      </c>
      <c r="AZ20" s="88">
        <v>3000</v>
      </c>
      <c r="BA20" s="88">
        <v>1000</v>
      </c>
      <c r="BB20" s="89" t="s">
        <v>247</v>
      </c>
    </row>
    <row r="21" spans="1:54" ht="15" thickBot="1" x14ac:dyDescent="0.35">
      <c r="A21" s="50"/>
      <c r="B21" s="50"/>
      <c r="C21" s="50"/>
      <c r="D21" s="50"/>
      <c r="E21" s="50"/>
      <c r="F21" s="50" t="s">
        <v>90</v>
      </c>
      <c r="G21" s="50"/>
      <c r="H21" s="52">
        <v>0</v>
      </c>
      <c r="I21" s="52">
        <v>0</v>
      </c>
      <c r="J21" s="52">
        <v>1831.67</v>
      </c>
      <c r="K21" s="52">
        <v>323.87</v>
      </c>
      <c r="L21" s="52">
        <v>0</v>
      </c>
      <c r="M21" s="52">
        <v>1467.17</v>
      </c>
      <c r="N21" s="52">
        <v>200.19</v>
      </c>
      <c r="O21" s="52">
        <v>0</v>
      </c>
      <c r="P21" s="52">
        <v>0</v>
      </c>
      <c r="Q21" s="52">
        <v>65.45</v>
      </c>
      <c r="R21" s="52">
        <v>0</v>
      </c>
      <c r="S21" s="52">
        <v>2276.58</v>
      </c>
      <c r="T21" s="52"/>
      <c r="U21" s="52">
        <f t="shared" si="4"/>
        <v>6164.93</v>
      </c>
      <c r="V21" s="69">
        <v>20000</v>
      </c>
      <c r="W21" s="69">
        <v>10000</v>
      </c>
      <c r="X21" s="68" t="s">
        <v>291</v>
      </c>
      <c r="AB21" s="86"/>
      <c r="AC21" s="86"/>
      <c r="AD21" s="86"/>
      <c r="AE21" s="86" t="s">
        <v>91</v>
      </c>
      <c r="AF21" s="86" t="s">
        <v>90</v>
      </c>
      <c r="AG21" s="86"/>
      <c r="AH21" s="90"/>
      <c r="AI21" s="90"/>
      <c r="AJ21" s="90"/>
      <c r="AK21" s="90"/>
      <c r="AL21" s="90">
        <v>-126</v>
      </c>
      <c r="AM21" s="90">
        <v>0</v>
      </c>
      <c r="AN21" s="90">
        <v>3663.49</v>
      </c>
      <c r="AO21" s="90">
        <v>240.94</v>
      </c>
      <c r="AP21" s="90">
        <v>0</v>
      </c>
      <c r="AQ21" s="90">
        <v>2598.63</v>
      </c>
      <c r="AR21" s="90">
        <v>304.14999999999998</v>
      </c>
      <c r="AS21" s="90">
        <v>0</v>
      </c>
      <c r="AT21" s="90">
        <v>1741.43</v>
      </c>
      <c r="AU21" s="90">
        <v>99.78</v>
      </c>
      <c r="AV21" s="90">
        <v>0</v>
      </c>
      <c r="AW21" s="90">
        <v>6128.28</v>
      </c>
      <c r="AX21" s="90"/>
      <c r="AY21" s="91">
        <f t="shared" si="5"/>
        <v>14650.7</v>
      </c>
      <c r="AZ21" s="91">
        <v>30000</v>
      </c>
      <c r="BA21" s="91">
        <v>20000</v>
      </c>
      <c r="BB21" s="92" t="s">
        <v>247</v>
      </c>
    </row>
    <row r="22" spans="1:54" x14ac:dyDescent="0.3">
      <c r="A22" s="50"/>
      <c r="B22" s="50"/>
      <c r="C22" s="50"/>
      <c r="D22" s="50"/>
      <c r="E22" s="50" t="s">
        <v>91</v>
      </c>
      <c r="F22" s="50"/>
      <c r="G22" s="50"/>
      <c r="H22" s="51">
        <f t="shared" ref="H22:P22" si="6">ROUND(SUM(H16:H21),5)</f>
        <v>17045.14</v>
      </c>
      <c r="I22" s="51">
        <f t="shared" si="6"/>
        <v>6115.34</v>
      </c>
      <c r="J22" s="51">
        <f t="shared" si="6"/>
        <v>8368.85</v>
      </c>
      <c r="K22" s="51">
        <f t="shared" si="6"/>
        <v>5892.78</v>
      </c>
      <c r="L22" s="51">
        <f t="shared" si="6"/>
        <v>7065.59</v>
      </c>
      <c r="M22" s="51">
        <f t="shared" si="6"/>
        <v>8252.43</v>
      </c>
      <c r="N22" s="51">
        <f t="shared" si="6"/>
        <v>5916.23</v>
      </c>
      <c r="O22" s="51">
        <f t="shared" si="6"/>
        <v>6726.72</v>
      </c>
      <c r="P22" s="51">
        <f t="shared" si="6"/>
        <v>9705.61</v>
      </c>
      <c r="Q22" s="51">
        <f>ROUND(SUM(Q16:Q21),5)</f>
        <v>4637.8</v>
      </c>
      <c r="R22" s="51">
        <f>ROUND(SUM(R16:R21),5)</f>
        <v>7854.37</v>
      </c>
      <c r="S22" s="51">
        <f>ROUND(SUM(S16:S21),5)</f>
        <v>2708.62</v>
      </c>
      <c r="T22" s="51"/>
      <c r="U22" s="51">
        <f t="shared" si="4"/>
        <v>90289.48</v>
      </c>
      <c r="V22" s="51">
        <f>ROUND(SUM(V16:V21),5)</f>
        <v>91000</v>
      </c>
      <c r="W22" s="51">
        <f>ROUND(SUM(W16:W21),5)</f>
        <v>89000</v>
      </c>
      <c r="AB22" s="86"/>
      <c r="AC22" s="86"/>
      <c r="AD22" s="86"/>
      <c r="AE22" s="86" t="s">
        <v>92</v>
      </c>
      <c r="AF22" s="86"/>
      <c r="AG22" s="86"/>
      <c r="AH22" s="87"/>
      <c r="AI22" s="87"/>
      <c r="AJ22" s="87"/>
      <c r="AK22" s="87"/>
      <c r="AL22" s="87">
        <f t="shared" ref="AL22:AW22" si="7">ROUND(SUM(AL16:AL21),5)</f>
        <v>4333.29</v>
      </c>
      <c r="AM22" s="87">
        <f t="shared" si="7"/>
        <v>10202.26</v>
      </c>
      <c r="AN22" s="87">
        <f t="shared" si="7"/>
        <v>6196.82</v>
      </c>
      <c r="AO22" s="87">
        <f t="shared" si="7"/>
        <v>9101.92</v>
      </c>
      <c r="AP22" s="87">
        <f t="shared" si="7"/>
        <v>6584.08</v>
      </c>
      <c r="AQ22" s="87">
        <f t="shared" si="7"/>
        <v>10172.540000000001</v>
      </c>
      <c r="AR22" s="87">
        <f t="shared" si="7"/>
        <v>12817.65</v>
      </c>
      <c r="AS22" s="87">
        <f t="shared" si="7"/>
        <v>5227.71</v>
      </c>
      <c r="AT22" s="87">
        <f t="shared" si="7"/>
        <v>8615.89</v>
      </c>
      <c r="AU22" s="87">
        <f t="shared" si="7"/>
        <v>6797.1</v>
      </c>
      <c r="AV22" s="87">
        <f t="shared" si="7"/>
        <v>6002</v>
      </c>
      <c r="AW22" s="87">
        <f t="shared" si="7"/>
        <v>18246.419999999998</v>
      </c>
      <c r="AX22" s="87"/>
      <c r="AY22" s="88">
        <f t="shared" si="5"/>
        <v>104297.68</v>
      </c>
      <c r="AZ22" s="88">
        <f>ROUND(SUM(AZ16:AZ21),5)</f>
        <v>90000</v>
      </c>
      <c r="BA22" s="88">
        <f>ROUND(SUM(BA16:BA21),5)</f>
        <v>91000</v>
      </c>
      <c r="BB22" s="89"/>
    </row>
    <row r="23" spans="1:54" x14ac:dyDescent="0.3">
      <c r="A23" s="50"/>
      <c r="B23" s="50"/>
      <c r="C23" s="50"/>
      <c r="D23" s="50"/>
      <c r="E23" s="50" t="s">
        <v>92</v>
      </c>
      <c r="F23" s="50"/>
      <c r="G23" s="50"/>
      <c r="H23" s="51"/>
      <c r="I23" s="51"/>
      <c r="J23" s="51"/>
      <c r="K23" s="51"/>
      <c r="L23" s="51"/>
      <c r="M23" s="51"/>
      <c r="N23" s="51"/>
      <c r="O23" s="51"/>
      <c r="P23" s="51"/>
      <c r="Q23" s="51"/>
      <c r="R23" s="51"/>
      <c r="S23" s="51"/>
      <c r="T23" s="51"/>
      <c r="U23" s="51"/>
      <c r="V23" s="51"/>
      <c r="W23" s="51"/>
      <c r="AB23" s="86"/>
      <c r="AC23" s="86"/>
      <c r="AD23" s="86"/>
      <c r="AE23" s="86"/>
      <c r="AF23" s="86"/>
      <c r="AG23" s="86"/>
      <c r="AH23" s="87"/>
      <c r="AI23" s="87"/>
      <c r="AJ23" s="87"/>
      <c r="AK23" s="87"/>
      <c r="AL23" s="87"/>
      <c r="AM23" s="87"/>
      <c r="AN23" s="87"/>
      <c r="AO23" s="87"/>
      <c r="AP23" s="87"/>
      <c r="AQ23" s="87"/>
      <c r="AR23" s="87"/>
      <c r="AS23" s="87"/>
      <c r="AT23" s="87"/>
      <c r="AU23" s="87"/>
      <c r="AV23" s="87"/>
      <c r="AW23" s="87"/>
      <c r="AX23" s="87"/>
      <c r="AY23" s="88"/>
      <c r="AZ23" s="88"/>
      <c r="BA23" s="88"/>
      <c r="BB23" s="89"/>
    </row>
    <row r="24" spans="1:54" x14ac:dyDescent="0.3">
      <c r="A24" s="50"/>
      <c r="B24" s="50"/>
      <c r="C24" s="50"/>
      <c r="D24" s="50"/>
      <c r="E24" s="50"/>
      <c r="F24" s="50" t="s">
        <v>93</v>
      </c>
      <c r="G24" s="50"/>
      <c r="H24" s="51">
        <v>13100</v>
      </c>
      <c r="I24" s="51">
        <v>5230</v>
      </c>
      <c r="J24" s="51">
        <v>30592</v>
      </c>
      <c r="K24" s="51">
        <v>22305</v>
      </c>
      <c r="L24" s="51">
        <v>6000</v>
      </c>
      <c r="M24" s="51">
        <v>8400</v>
      </c>
      <c r="N24" s="51">
        <v>14960</v>
      </c>
      <c r="O24" s="51">
        <v>23490</v>
      </c>
      <c r="P24" s="51">
        <v>22920</v>
      </c>
      <c r="Q24" s="51">
        <v>9150</v>
      </c>
      <c r="R24" s="51">
        <v>850</v>
      </c>
      <c r="S24" s="51">
        <f>12370.66-7000</f>
        <v>5370.66</v>
      </c>
      <c r="T24" s="51"/>
      <c r="U24" s="51">
        <f t="shared" ref="U24:U35" si="8">ROUND(SUM(H24:T24),5)</f>
        <v>162367.66</v>
      </c>
      <c r="V24" s="67">
        <v>165000</v>
      </c>
      <c r="W24" s="67">
        <f>165000-20000</f>
        <v>145000</v>
      </c>
      <c r="AB24" s="86"/>
      <c r="AC24" s="86"/>
      <c r="AD24" s="86"/>
      <c r="AE24" s="86"/>
      <c r="AF24" s="86" t="s">
        <v>93</v>
      </c>
      <c r="AG24" s="86"/>
      <c r="AH24" s="87"/>
      <c r="AI24" s="87"/>
      <c r="AJ24" s="87"/>
      <c r="AK24" s="87"/>
      <c r="AL24" s="87">
        <v>8225</v>
      </c>
      <c r="AM24" s="87">
        <v>10866.67</v>
      </c>
      <c r="AN24" s="87">
        <v>9500</v>
      </c>
      <c r="AO24" s="87">
        <v>25066.67</v>
      </c>
      <c r="AP24" s="87">
        <v>7800</v>
      </c>
      <c r="AQ24" s="87">
        <v>20950</v>
      </c>
      <c r="AR24" s="87">
        <v>19000</v>
      </c>
      <c r="AS24" s="87">
        <v>24450</v>
      </c>
      <c r="AT24" s="87">
        <v>22500</v>
      </c>
      <c r="AU24" s="87">
        <v>12325</v>
      </c>
      <c r="AV24" s="87">
        <v>5000</v>
      </c>
      <c r="AW24" s="87">
        <v>10643</v>
      </c>
      <c r="AX24" s="87"/>
      <c r="AY24" s="88">
        <f t="shared" ref="AY24:AY35" si="9">ROUND(SUM(AH24:AX24),5)</f>
        <v>176326.34</v>
      </c>
      <c r="AZ24" s="88">
        <v>120000</v>
      </c>
      <c r="BA24" s="88">
        <v>165000</v>
      </c>
      <c r="BB24" s="89" t="s">
        <v>247</v>
      </c>
    </row>
    <row r="25" spans="1:54" x14ac:dyDescent="0.3">
      <c r="A25" s="50"/>
      <c r="B25" s="50"/>
      <c r="C25" s="50"/>
      <c r="D25" s="50"/>
      <c r="E25" s="50"/>
      <c r="F25" s="50" t="s">
        <v>94</v>
      </c>
      <c r="G25" s="50"/>
      <c r="H25" s="51">
        <v>3300</v>
      </c>
      <c r="I25" s="51">
        <v>500</v>
      </c>
      <c r="J25" s="51">
        <v>3000</v>
      </c>
      <c r="K25" s="51">
        <v>1250</v>
      </c>
      <c r="L25" s="51">
        <v>1250</v>
      </c>
      <c r="M25" s="51">
        <v>1500</v>
      </c>
      <c r="N25" s="51">
        <v>1700</v>
      </c>
      <c r="O25" s="51">
        <v>1750</v>
      </c>
      <c r="P25" s="51">
        <v>1860</v>
      </c>
      <c r="Q25" s="51">
        <v>1800</v>
      </c>
      <c r="R25" s="51">
        <v>250</v>
      </c>
      <c r="S25" s="51">
        <v>1650</v>
      </c>
      <c r="T25" s="51"/>
      <c r="U25" s="51">
        <f t="shared" si="8"/>
        <v>19810</v>
      </c>
      <c r="V25" s="67">
        <v>18000</v>
      </c>
      <c r="W25" s="67">
        <v>18000</v>
      </c>
      <c r="AB25" s="86"/>
      <c r="AC25" s="86"/>
      <c r="AD25" s="86"/>
      <c r="AE25" s="86"/>
      <c r="AF25" s="86" t="s">
        <v>94</v>
      </c>
      <c r="AG25" s="86"/>
      <c r="AH25" s="87"/>
      <c r="AI25" s="87"/>
      <c r="AJ25" s="87"/>
      <c r="AK25" s="87"/>
      <c r="AL25" s="87">
        <v>1200</v>
      </c>
      <c r="AM25" s="87">
        <v>1410</v>
      </c>
      <c r="AN25" s="87">
        <v>1250</v>
      </c>
      <c r="AO25" s="87">
        <v>2500</v>
      </c>
      <c r="AP25" s="87">
        <v>500</v>
      </c>
      <c r="AQ25" s="87">
        <v>2000</v>
      </c>
      <c r="AR25" s="87">
        <v>1250</v>
      </c>
      <c r="AS25" s="87">
        <v>1910</v>
      </c>
      <c r="AT25" s="87">
        <v>2500</v>
      </c>
      <c r="AU25" s="87">
        <v>1450</v>
      </c>
      <c r="AV25" s="87">
        <v>1250</v>
      </c>
      <c r="AW25" s="87">
        <v>750</v>
      </c>
      <c r="AX25" s="87"/>
      <c r="AY25" s="88">
        <f t="shared" si="9"/>
        <v>17970</v>
      </c>
      <c r="AZ25" s="88">
        <v>12000</v>
      </c>
      <c r="BA25" s="88">
        <v>18000</v>
      </c>
      <c r="BB25" s="89"/>
    </row>
    <row r="26" spans="1:54" x14ac:dyDescent="0.3">
      <c r="A26" s="50"/>
      <c r="B26" s="50"/>
      <c r="C26" s="50"/>
      <c r="D26" s="50"/>
      <c r="E26" s="50"/>
      <c r="F26" s="50" t="s">
        <v>230</v>
      </c>
      <c r="G26" s="50"/>
      <c r="H26" s="51">
        <v>0</v>
      </c>
      <c r="I26" s="51">
        <v>230</v>
      </c>
      <c r="J26" s="51">
        <v>892</v>
      </c>
      <c r="K26" s="51">
        <v>690</v>
      </c>
      <c r="L26" s="51">
        <v>0</v>
      </c>
      <c r="M26" s="51">
        <v>460</v>
      </c>
      <c r="N26" s="51">
        <v>460</v>
      </c>
      <c r="O26" s="51">
        <v>690</v>
      </c>
      <c r="P26" s="51">
        <v>920</v>
      </c>
      <c r="Q26" s="51">
        <v>230</v>
      </c>
      <c r="R26" s="51">
        <v>0</v>
      </c>
      <c r="S26" s="51">
        <v>455</v>
      </c>
      <c r="T26" s="51"/>
      <c r="U26" s="51">
        <f t="shared" si="8"/>
        <v>5027</v>
      </c>
      <c r="V26" s="67">
        <v>3000</v>
      </c>
      <c r="W26" s="67">
        <v>3000</v>
      </c>
      <c r="AB26" s="86"/>
      <c r="AC26" s="86"/>
      <c r="AD26" s="86"/>
      <c r="AE26" s="86"/>
      <c r="AF26" s="86" t="s">
        <v>230</v>
      </c>
      <c r="AG26" s="86"/>
      <c r="AH26" s="87"/>
      <c r="AI26" s="87"/>
      <c r="AJ26" s="87"/>
      <c r="AK26" s="87"/>
      <c r="AL26" s="87">
        <v>0</v>
      </c>
      <c r="AM26" s="87">
        <v>0</v>
      </c>
      <c r="AN26" s="87">
        <v>0</v>
      </c>
      <c r="AO26" s="87">
        <v>0</v>
      </c>
      <c r="AP26" s="87">
        <v>0</v>
      </c>
      <c r="AQ26" s="87">
        <v>450</v>
      </c>
      <c r="AR26" s="87">
        <v>0</v>
      </c>
      <c r="AS26" s="87">
        <v>450</v>
      </c>
      <c r="AT26" s="87">
        <v>0</v>
      </c>
      <c r="AU26" s="87">
        <v>225</v>
      </c>
      <c r="AV26" s="87">
        <v>0</v>
      </c>
      <c r="AW26" s="87">
        <v>0</v>
      </c>
      <c r="AX26" s="87"/>
      <c r="AY26" s="88">
        <f t="shared" si="9"/>
        <v>1125</v>
      </c>
      <c r="AZ26" s="88">
        <v>0</v>
      </c>
      <c r="BA26" s="88">
        <v>3000</v>
      </c>
      <c r="BB26" s="89"/>
    </row>
    <row r="27" spans="1:54" x14ac:dyDescent="0.3">
      <c r="A27" s="50"/>
      <c r="B27" s="50"/>
      <c r="C27" s="50"/>
      <c r="D27" s="50"/>
      <c r="E27" s="50"/>
      <c r="F27" s="50" t="s">
        <v>95</v>
      </c>
      <c r="G27" s="50"/>
      <c r="H27" s="51">
        <v>3750</v>
      </c>
      <c r="I27" s="51">
        <v>1950</v>
      </c>
      <c r="J27" s="51">
        <v>8750</v>
      </c>
      <c r="K27" s="51">
        <v>4300</v>
      </c>
      <c r="L27" s="51">
        <v>1800</v>
      </c>
      <c r="M27" s="51">
        <v>4700</v>
      </c>
      <c r="N27" s="51">
        <v>5300</v>
      </c>
      <c r="O27" s="51">
        <v>3600</v>
      </c>
      <c r="P27" s="51">
        <v>7600</v>
      </c>
      <c r="Q27" s="51">
        <v>6250</v>
      </c>
      <c r="R27" s="51">
        <v>1000</v>
      </c>
      <c r="S27" s="51">
        <f>6100-4000</f>
        <v>2100</v>
      </c>
      <c r="T27" s="51"/>
      <c r="U27" s="51">
        <f t="shared" si="8"/>
        <v>51100</v>
      </c>
      <c r="V27" s="67">
        <v>47000</v>
      </c>
      <c r="W27" s="67">
        <f>47000-10000</f>
        <v>37000</v>
      </c>
      <c r="AB27" s="86"/>
      <c r="AC27" s="86"/>
      <c r="AD27" s="86"/>
      <c r="AE27" s="86"/>
      <c r="AF27" s="86" t="s">
        <v>95</v>
      </c>
      <c r="AG27" s="86"/>
      <c r="AH27" s="87"/>
      <c r="AI27" s="87"/>
      <c r="AJ27" s="87"/>
      <c r="AK27" s="87"/>
      <c r="AL27" s="87">
        <v>3650</v>
      </c>
      <c r="AM27" s="87">
        <v>3250</v>
      </c>
      <c r="AN27" s="87">
        <v>2800</v>
      </c>
      <c r="AO27" s="87">
        <v>6100</v>
      </c>
      <c r="AP27" s="87">
        <v>100</v>
      </c>
      <c r="AQ27" s="87">
        <v>4900</v>
      </c>
      <c r="AR27" s="87">
        <v>3500</v>
      </c>
      <c r="AS27" s="87">
        <v>7650</v>
      </c>
      <c r="AT27" s="87">
        <v>8000</v>
      </c>
      <c r="AU27" s="87">
        <v>3700</v>
      </c>
      <c r="AV27" s="87">
        <v>5150</v>
      </c>
      <c r="AW27" s="87">
        <v>2550</v>
      </c>
      <c r="AX27" s="87"/>
      <c r="AY27" s="88">
        <f t="shared" si="9"/>
        <v>51350</v>
      </c>
      <c r="AZ27" s="88">
        <v>30000</v>
      </c>
      <c r="BA27" s="88">
        <v>47000</v>
      </c>
      <c r="BB27" s="89"/>
    </row>
    <row r="28" spans="1:54" x14ac:dyDescent="0.3">
      <c r="A28" s="50"/>
      <c r="B28" s="50"/>
      <c r="C28" s="50"/>
      <c r="D28" s="50"/>
      <c r="E28" s="50"/>
      <c r="F28" s="50" t="s">
        <v>96</v>
      </c>
      <c r="G28" s="50"/>
      <c r="H28" s="51">
        <v>20500</v>
      </c>
      <c r="I28" s="51">
        <v>3770</v>
      </c>
      <c r="J28" s="51">
        <v>21408</v>
      </c>
      <c r="K28" s="51">
        <v>-505</v>
      </c>
      <c r="L28" s="51">
        <v>10500</v>
      </c>
      <c r="M28" s="51">
        <v>6000</v>
      </c>
      <c r="N28" s="51">
        <v>10690</v>
      </c>
      <c r="O28" s="51">
        <v>-990</v>
      </c>
      <c r="P28" s="51">
        <v>13230</v>
      </c>
      <c r="Q28" s="51">
        <v>4000</v>
      </c>
      <c r="R28" s="51">
        <v>800</v>
      </c>
      <c r="S28" s="51">
        <f>9282-3737.66</f>
        <v>5544.34</v>
      </c>
      <c r="T28" s="51"/>
      <c r="U28" s="51">
        <f t="shared" si="8"/>
        <v>94947.34</v>
      </c>
      <c r="V28" s="67">
        <v>70000</v>
      </c>
      <c r="W28" s="67">
        <f>70000-13200</f>
        <v>56800</v>
      </c>
      <c r="AB28" s="86"/>
      <c r="AC28" s="86"/>
      <c r="AD28" s="86"/>
      <c r="AE28" s="86"/>
      <c r="AF28" s="86" t="s">
        <v>96</v>
      </c>
      <c r="AG28" s="86"/>
      <c r="AH28" s="87"/>
      <c r="AI28" s="87"/>
      <c r="AJ28" s="87"/>
      <c r="AK28" s="87"/>
      <c r="AL28" s="87">
        <v>2500</v>
      </c>
      <c r="AM28" s="87">
        <v>6083.33</v>
      </c>
      <c r="AN28" s="87">
        <v>16450</v>
      </c>
      <c r="AO28" s="87">
        <v>17583.330000000002</v>
      </c>
      <c r="AP28" s="87">
        <v>0</v>
      </c>
      <c r="AQ28" s="87">
        <v>3050</v>
      </c>
      <c r="AR28" s="87">
        <v>4000</v>
      </c>
      <c r="AS28" s="87">
        <v>9050</v>
      </c>
      <c r="AT28" s="87">
        <v>16650</v>
      </c>
      <c r="AU28" s="87">
        <v>2675</v>
      </c>
      <c r="AV28" s="87">
        <v>1725</v>
      </c>
      <c r="AW28" s="87">
        <v>5357</v>
      </c>
      <c r="AX28" s="87"/>
      <c r="AY28" s="88">
        <f t="shared" si="9"/>
        <v>85123.66</v>
      </c>
      <c r="AZ28" s="88">
        <v>67000</v>
      </c>
      <c r="BA28" s="88">
        <v>70000</v>
      </c>
      <c r="BB28" s="89"/>
    </row>
    <row r="29" spans="1:54" x14ac:dyDescent="0.3">
      <c r="A29" s="50"/>
      <c r="B29" s="50"/>
      <c r="C29" s="50"/>
      <c r="D29" s="50"/>
      <c r="E29" s="50"/>
      <c r="F29" s="50" t="s">
        <v>97</v>
      </c>
      <c r="G29" s="50"/>
      <c r="H29" s="51">
        <v>1100</v>
      </c>
      <c r="I29" s="51">
        <v>0</v>
      </c>
      <c r="J29" s="51">
        <v>4300</v>
      </c>
      <c r="K29" s="51">
        <v>7900</v>
      </c>
      <c r="L29" s="51">
        <v>0</v>
      </c>
      <c r="M29" s="51">
        <v>5400</v>
      </c>
      <c r="N29" s="51">
        <v>3600</v>
      </c>
      <c r="O29" s="51">
        <v>5200</v>
      </c>
      <c r="P29" s="51">
        <v>3600</v>
      </c>
      <c r="Q29" s="51">
        <v>2900</v>
      </c>
      <c r="R29" s="51">
        <v>0</v>
      </c>
      <c r="S29" s="51">
        <v>2700</v>
      </c>
      <c r="T29" s="51"/>
      <c r="U29" s="51">
        <f t="shared" si="8"/>
        <v>36700</v>
      </c>
      <c r="V29" s="67">
        <v>17000</v>
      </c>
      <c r="W29" s="67">
        <v>17000</v>
      </c>
      <c r="AB29" s="86"/>
      <c r="AC29" s="86"/>
      <c r="AD29" s="86"/>
      <c r="AE29" s="86"/>
      <c r="AF29" s="86" t="s">
        <v>97</v>
      </c>
      <c r="AG29" s="86"/>
      <c r="AH29" s="87"/>
      <c r="AI29" s="87"/>
      <c r="AJ29" s="87"/>
      <c r="AK29" s="87"/>
      <c r="AL29" s="87">
        <v>1500</v>
      </c>
      <c r="AM29" s="87">
        <v>0</v>
      </c>
      <c r="AN29" s="87">
        <v>1600</v>
      </c>
      <c r="AO29" s="87">
        <v>0</v>
      </c>
      <c r="AP29" s="87">
        <v>3000</v>
      </c>
      <c r="AQ29" s="87">
        <v>3100</v>
      </c>
      <c r="AR29" s="87">
        <v>0</v>
      </c>
      <c r="AS29" s="87">
        <v>3300</v>
      </c>
      <c r="AT29" s="87">
        <v>1500</v>
      </c>
      <c r="AU29" s="87">
        <v>3100</v>
      </c>
      <c r="AV29" s="87">
        <v>0</v>
      </c>
      <c r="AW29" s="87">
        <v>1500</v>
      </c>
      <c r="AX29" s="87"/>
      <c r="AY29" s="88">
        <f t="shared" si="9"/>
        <v>18600</v>
      </c>
      <c r="AZ29" s="88">
        <v>27000</v>
      </c>
      <c r="BA29" s="88">
        <v>17000</v>
      </c>
      <c r="BB29" s="89"/>
    </row>
    <row r="30" spans="1:54" x14ac:dyDescent="0.3">
      <c r="A30" s="50"/>
      <c r="B30" s="50"/>
      <c r="C30" s="50"/>
      <c r="D30" s="50"/>
      <c r="E30" s="50"/>
      <c r="F30" s="50" t="s">
        <v>198</v>
      </c>
      <c r="G30" s="50"/>
      <c r="H30" s="51">
        <v>0</v>
      </c>
      <c r="I30" s="51">
        <v>0</v>
      </c>
      <c r="J30" s="51">
        <v>0</v>
      </c>
      <c r="K30" s="51">
        <v>0</v>
      </c>
      <c r="L30" s="51">
        <v>0</v>
      </c>
      <c r="M30" s="51">
        <v>0</v>
      </c>
      <c r="N30" s="51">
        <v>0</v>
      </c>
      <c r="O30" s="51">
        <v>0</v>
      </c>
      <c r="P30" s="51">
        <v>0</v>
      </c>
      <c r="Q30" s="51">
        <v>300</v>
      </c>
      <c r="R30" s="51">
        <v>0</v>
      </c>
      <c r="S30" s="51">
        <v>0</v>
      </c>
      <c r="T30" s="51"/>
      <c r="U30" s="51">
        <f t="shared" si="8"/>
        <v>300</v>
      </c>
      <c r="V30" s="67">
        <v>300</v>
      </c>
      <c r="W30" s="67">
        <v>300</v>
      </c>
      <c r="AB30" s="86"/>
      <c r="AC30" s="86"/>
      <c r="AD30" s="86"/>
      <c r="AE30" s="86"/>
      <c r="AF30" s="86" t="s">
        <v>198</v>
      </c>
      <c r="AG30" s="86"/>
      <c r="AH30" s="87"/>
      <c r="AI30" s="87"/>
      <c r="AJ30" s="87"/>
      <c r="AK30" s="87"/>
      <c r="AL30" s="87">
        <v>0</v>
      </c>
      <c r="AM30" s="87">
        <v>0</v>
      </c>
      <c r="AN30" s="87">
        <v>0</v>
      </c>
      <c r="AO30" s="87">
        <v>0</v>
      </c>
      <c r="AP30" s="87">
        <v>300</v>
      </c>
      <c r="AQ30" s="87">
        <v>0</v>
      </c>
      <c r="AR30" s="87">
        <v>0</v>
      </c>
      <c r="AS30" s="87">
        <v>0</v>
      </c>
      <c r="AT30" s="87">
        <v>0</v>
      </c>
      <c r="AU30" s="87">
        <v>0</v>
      </c>
      <c r="AV30" s="87">
        <v>0</v>
      </c>
      <c r="AW30" s="87">
        <v>0</v>
      </c>
      <c r="AX30" s="87"/>
      <c r="AY30" s="88">
        <f t="shared" si="9"/>
        <v>300</v>
      </c>
      <c r="AZ30" s="88">
        <v>300</v>
      </c>
      <c r="BA30" s="88">
        <v>300</v>
      </c>
      <c r="BB30" s="89"/>
    </row>
    <row r="31" spans="1:54" ht="13.8" customHeight="1" x14ac:dyDescent="0.3">
      <c r="A31" s="50"/>
      <c r="B31" s="50"/>
      <c r="C31" s="50"/>
      <c r="D31" s="50"/>
      <c r="E31" s="50"/>
      <c r="F31" s="50" t="s">
        <v>231</v>
      </c>
      <c r="G31" s="50"/>
      <c r="H31" s="51">
        <v>1000</v>
      </c>
      <c r="I31" s="51">
        <v>500</v>
      </c>
      <c r="J31" s="51">
        <v>6500</v>
      </c>
      <c r="K31" s="51">
        <v>3000</v>
      </c>
      <c r="L31" s="51">
        <v>1000</v>
      </c>
      <c r="M31" s="51">
        <v>3000</v>
      </c>
      <c r="N31" s="51">
        <v>3500</v>
      </c>
      <c r="O31" s="51">
        <v>4000</v>
      </c>
      <c r="P31" s="51">
        <v>5000</v>
      </c>
      <c r="Q31" s="51">
        <v>4000</v>
      </c>
      <c r="R31" s="51">
        <v>0</v>
      </c>
      <c r="S31" s="51">
        <v>500</v>
      </c>
      <c r="T31" s="51"/>
      <c r="U31" s="51">
        <f t="shared" si="8"/>
        <v>32000</v>
      </c>
      <c r="V31" s="67">
        <v>6500</v>
      </c>
      <c r="W31" s="67">
        <v>16000</v>
      </c>
      <c r="X31" s="68" t="s">
        <v>309</v>
      </c>
      <c r="AB31" s="86"/>
      <c r="AC31" s="86"/>
      <c r="AD31" s="86"/>
      <c r="AE31" s="86"/>
      <c r="AF31" s="86" t="s">
        <v>231</v>
      </c>
      <c r="AG31" s="86"/>
      <c r="AH31" s="87"/>
      <c r="AI31" s="87"/>
      <c r="AJ31" s="87"/>
      <c r="AK31" s="87"/>
      <c r="AL31" s="87">
        <v>0</v>
      </c>
      <c r="AM31" s="87">
        <v>0</v>
      </c>
      <c r="AN31" s="87">
        <v>0</v>
      </c>
      <c r="AO31" s="87">
        <v>-500</v>
      </c>
      <c r="AP31" s="87">
        <v>500</v>
      </c>
      <c r="AQ31" s="87">
        <v>2000</v>
      </c>
      <c r="AR31" s="87">
        <v>1500</v>
      </c>
      <c r="AS31" s="87">
        <v>0</v>
      </c>
      <c r="AT31" s="87">
        <v>0</v>
      </c>
      <c r="AU31" s="87">
        <v>0</v>
      </c>
      <c r="AV31" s="87">
        <v>0</v>
      </c>
      <c r="AW31" s="87">
        <v>0</v>
      </c>
      <c r="AX31" s="87"/>
      <c r="AY31" s="88">
        <f t="shared" si="9"/>
        <v>3500</v>
      </c>
      <c r="AZ31" s="88">
        <v>0</v>
      </c>
      <c r="BA31" s="88">
        <v>6500</v>
      </c>
      <c r="BB31" s="89" t="s">
        <v>257</v>
      </c>
    </row>
    <row r="32" spans="1:54" x14ac:dyDescent="0.3">
      <c r="A32" s="50"/>
      <c r="B32" s="50"/>
      <c r="C32" s="50"/>
      <c r="D32" s="50"/>
      <c r="E32" s="50"/>
      <c r="F32" s="50" t="s">
        <v>98</v>
      </c>
      <c r="G32" s="50"/>
      <c r="H32" s="51">
        <v>1480</v>
      </c>
      <c r="I32" s="51">
        <v>980</v>
      </c>
      <c r="J32" s="51">
        <v>2360</v>
      </c>
      <c r="K32" s="51">
        <v>1965</v>
      </c>
      <c r="L32" s="51">
        <v>375</v>
      </c>
      <c r="M32" s="51">
        <v>2855</v>
      </c>
      <c r="N32" s="51">
        <v>1860</v>
      </c>
      <c r="O32" s="51">
        <v>880</v>
      </c>
      <c r="P32" s="51">
        <v>4003</v>
      </c>
      <c r="Q32" s="51">
        <v>2025</v>
      </c>
      <c r="R32" s="51">
        <v>0</v>
      </c>
      <c r="S32" s="51">
        <v>1680</v>
      </c>
      <c r="T32" s="51"/>
      <c r="U32" s="51">
        <f t="shared" si="8"/>
        <v>20463</v>
      </c>
      <c r="V32" s="67">
        <v>16000</v>
      </c>
      <c r="W32" s="67">
        <v>16000</v>
      </c>
      <c r="AB32" s="86"/>
      <c r="AC32" s="86"/>
      <c r="AD32" s="86"/>
      <c r="AE32" s="86"/>
      <c r="AF32" s="86" t="s">
        <v>98</v>
      </c>
      <c r="AG32" s="86"/>
      <c r="AH32" s="87"/>
      <c r="AI32" s="87"/>
      <c r="AJ32" s="87"/>
      <c r="AK32" s="87"/>
      <c r="AL32" s="87">
        <v>1750</v>
      </c>
      <c r="AM32" s="87">
        <v>950</v>
      </c>
      <c r="AN32" s="87">
        <v>785</v>
      </c>
      <c r="AO32" s="87">
        <v>1550</v>
      </c>
      <c r="AP32" s="87">
        <v>500</v>
      </c>
      <c r="AQ32" s="87">
        <v>1320</v>
      </c>
      <c r="AR32" s="87">
        <v>1330</v>
      </c>
      <c r="AS32" s="87">
        <v>4113.1499999999996</v>
      </c>
      <c r="AT32" s="87">
        <v>2765</v>
      </c>
      <c r="AU32" s="87">
        <v>985</v>
      </c>
      <c r="AV32" s="87">
        <v>3010</v>
      </c>
      <c r="AW32" s="87">
        <v>300</v>
      </c>
      <c r="AX32" s="87"/>
      <c r="AY32" s="88">
        <f t="shared" si="9"/>
        <v>19358.150000000001</v>
      </c>
      <c r="AZ32" s="88">
        <v>12000</v>
      </c>
      <c r="BA32" s="88">
        <v>16000</v>
      </c>
      <c r="BB32" s="89"/>
    </row>
    <row r="33" spans="1:54" ht="15" thickBot="1" x14ac:dyDescent="0.35">
      <c r="A33" s="50"/>
      <c r="B33" s="50"/>
      <c r="C33" s="50"/>
      <c r="D33" s="50"/>
      <c r="E33" s="50"/>
      <c r="F33" s="50" t="s">
        <v>99</v>
      </c>
      <c r="G33" s="50"/>
      <c r="H33" s="51">
        <v>0</v>
      </c>
      <c r="I33" s="51">
        <v>0</v>
      </c>
      <c r="J33" s="51">
        <v>88.5</v>
      </c>
      <c r="K33" s="51">
        <v>15</v>
      </c>
      <c r="L33" s="51">
        <v>0</v>
      </c>
      <c r="M33" s="51">
        <v>0</v>
      </c>
      <c r="N33" s="51">
        <v>0</v>
      </c>
      <c r="O33" s="51">
        <v>0</v>
      </c>
      <c r="P33" s="51">
        <v>0</v>
      </c>
      <c r="Q33" s="51">
        <v>0</v>
      </c>
      <c r="R33" s="51">
        <v>-150</v>
      </c>
      <c r="S33" s="51">
        <v>0</v>
      </c>
      <c r="T33" s="51"/>
      <c r="U33" s="51">
        <f t="shared" si="8"/>
        <v>-46.5</v>
      </c>
      <c r="V33" s="67">
        <v>400</v>
      </c>
      <c r="W33" s="67">
        <v>400</v>
      </c>
      <c r="AB33" s="86"/>
      <c r="AC33" s="86"/>
      <c r="AD33" s="86"/>
      <c r="AE33" s="86" t="s">
        <v>100</v>
      </c>
      <c r="AF33" s="86" t="s">
        <v>99</v>
      </c>
      <c r="AG33" s="86"/>
      <c r="AH33" s="87"/>
      <c r="AI33" s="87"/>
      <c r="AJ33" s="87"/>
      <c r="AK33" s="87"/>
      <c r="AL33" s="87">
        <v>0</v>
      </c>
      <c r="AM33" s="87">
        <v>0</v>
      </c>
      <c r="AN33" s="87">
        <v>0</v>
      </c>
      <c r="AO33" s="87">
        <v>0</v>
      </c>
      <c r="AP33" s="87">
        <v>0</v>
      </c>
      <c r="AQ33" s="87">
        <v>0</v>
      </c>
      <c r="AR33" s="87">
        <v>0</v>
      </c>
      <c r="AS33" s="87">
        <v>0</v>
      </c>
      <c r="AT33" s="87">
        <v>0</v>
      </c>
      <c r="AU33" s="87">
        <v>0</v>
      </c>
      <c r="AV33" s="87">
        <v>25</v>
      </c>
      <c r="AW33" s="87">
        <v>145.41999999999999</v>
      </c>
      <c r="AX33" s="87"/>
      <c r="AY33" s="88">
        <f t="shared" si="9"/>
        <v>170.42</v>
      </c>
      <c r="AZ33" s="88">
        <v>500</v>
      </c>
      <c r="BA33" s="88">
        <v>400</v>
      </c>
      <c r="BB33" s="89"/>
    </row>
    <row r="34" spans="1:54" ht="15" thickBot="1" x14ac:dyDescent="0.35">
      <c r="A34" s="50"/>
      <c r="B34" s="50"/>
      <c r="C34" s="50"/>
      <c r="D34" s="50"/>
      <c r="E34" s="50" t="s">
        <v>100</v>
      </c>
      <c r="F34" s="50"/>
      <c r="G34" s="50"/>
      <c r="H34" s="53">
        <f t="shared" ref="H34:P34" si="10">ROUND(SUM(H23:H33),5)</f>
        <v>44230</v>
      </c>
      <c r="I34" s="53">
        <f t="shared" si="10"/>
        <v>13160</v>
      </c>
      <c r="J34" s="53">
        <f t="shared" si="10"/>
        <v>77890.5</v>
      </c>
      <c r="K34" s="53">
        <f t="shared" si="10"/>
        <v>40920</v>
      </c>
      <c r="L34" s="53">
        <f t="shared" si="10"/>
        <v>20925</v>
      </c>
      <c r="M34" s="53">
        <f t="shared" si="10"/>
        <v>32315</v>
      </c>
      <c r="N34" s="53">
        <f t="shared" si="10"/>
        <v>42070</v>
      </c>
      <c r="O34" s="53">
        <f t="shared" si="10"/>
        <v>38620</v>
      </c>
      <c r="P34" s="53">
        <f t="shared" si="10"/>
        <v>59133</v>
      </c>
      <c r="Q34" s="53">
        <f>ROUND(SUM(Q23:Q33),5)</f>
        <v>30655</v>
      </c>
      <c r="R34" s="53">
        <f>ROUND(SUM(R23:R33),5)</f>
        <v>2750</v>
      </c>
      <c r="S34" s="53">
        <f>ROUND(SUM(S23:S33),5)</f>
        <v>20000</v>
      </c>
      <c r="T34" s="53" t="s">
        <v>307</v>
      </c>
      <c r="U34" s="53">
        <f t="shared" si="8"/>
        <v>422668.5</v>
      </c>
      <c r="V34" s="53">
        <f>ROUND(SUM(V23:V33),5)</f>
        <v>343200</v>
      </c>
      <c r="W34" s="53">
        <f>ROUND(SUM(W23:W33),5)</f>
        <v>309500</v>
      </c>
      <c r="AB34" s="86"/>
      <c r="AC34" s="86"/>
      <c r="AD34" s="86" t="s">
        <v>3</v>
      </c>
      <c r="AE34" s="86"/>
      <c r="AF34" s="86"/>
      <c r="AG34" s="86"/>
      <c r="AH34" s="93"/>
      <c r="AI34" s="93"/>
      <c r="AJ34" s="93"/>
      <c r="AK34" s="93"/>
      <c r="AL34" s="93">
        <f t="shared" ref="AL34:AW34" si="11">ROUND(SUM(AL23:AL33),5)</f>
        <v>18825</v>
      </c>
      <c r="AM34" s="93">
        <f t="shared" si="11"/>
        <v>22560</v>
      </c>
      <c r="AN34" s="93">
        <f t="shared" si="11"/>
        <v>32385</v>
      </c>
      <c r="AO34" s="93">
        <f t="shared" si="11"/>
        <v>52300</v>
      </c>
      <c r="AP34" s="93">
        <f t="shared" si="11"/>
        <v>12700</v>
      </c>
      <c r="AQ34" s="93">
        <f t="shared" si="11"/>
        <v>37770</v>
      </c>
      <c r="AR34" s="93">
        <f t="shared" si="11"/>
        <v>30580</v>
      </c>
      <c r="AS34" s="93">
        <f t="shared" si="11"/>
        <v>50923.15</v>
      </c>
      <c r="AT34" s="93">
        <f t="shared" si="11"/>
        <v>53915</v>
      </c>
      <c r="AU34" s="93">
        <f t="shared" si="11"/>
        <v>24460</v>
      </c>
      <c r="AV34" s="93">
        <f t="shared" si="11"/>
        <v>16160</v>
      </c>
      <c r="AW34" s="93">
        <f t="shared" si="11"/>
        <v>21245.42</v>
      </c>
      <c r="AX34" s="93"/>
      <c r="AY34" s="94">
        <f t="shared" si="9"/>
        <v>373823.57</v>
      </c>
      <c r="AZ34" s="94">
        <f>ROUND(SUM(AZ23:AZ33),5)</f>
        <v>268800</v>
      </c>
      <c r="BA34" s="94">
        <f>ROUND(SUM(BA23:BA33),5)</f>
        <v>343200</v>
      </c>
      <c r="BB34" s="95"/>
    </row>
    <row r="35" spans="1:54" x14ac:dyDescent="0.3">
      <c r="A35" s="50"/>
      <c r="B35" s="50"/>
      <c r="C35" s="50"/>
      <c r="D35" s="50" t="s">
        <v>3</v>
      </c>
      <c r="E35" s="50"/>
      <c r="F35" s="50"/>
      <c r="G35" s="50"/>
      <c r="H35" s="51">
        <f t="shared" ref="H35:P35" si="12">ROUND(H3+H15+H22+H34,5)</f>
        <v>61275.14</v>
      </c>
      <c r="I35" s="51">
        <f t="shared" si="12"/>
        <v>21077.040000000001</v>
      </c>
      <c r="J35" s="51">
        <f t="shared" si="12"/>
        <v>86259.35</v>
      </c>
      <c r="K35" s="51">
        <f t="shared" si="12"/>
        <v>85563.12</v>
      </c>
      <c r="L35" s="51">
        <f t="shared" si="12"/>
        <v>26431.9</v>
      </c>
      <c r="M35" s="51">
        <f t="shared" si="12"/>
        <v>297669.45</v>
      </c>
      <c r="N35" s="51">
        <f t="shared" si="12"/>
        <v>218782.29</v>
      </c>
      <c r="O35" s="51">
        <f t="shared" si="12"/>
        <v>59700.88</v>
      </c>
      <c r="P35" s="51">
        <f t="shared" si="12"/>
        <v>74424.84</v>
      </c>
      <c r="Q35" s="51">
        <f>ROUND(Q3+Q15+Q22+Q34,5)</f>
        <v>104610.76</v>
      </c>
      <c r="R35" s="51">
        <f>ROUND(R3+R15+R22+R34,5)</f>
        <v>275564.61</v>
      </c>
      <c r="S35" s="51">
        <f>ROUND(S3+S15+S22+S34,5)</f>
        <v>43652.36</v>
      </c>
      <c r="T35" s="51"/>
      <c r="U35" s="51">
        <f t="shared" si="8"/>
        <v>1355011.74</v>
      </c>
      <c r="V35" s="51">
        <f>ROUND(V3+V15+V22+V34,5)</f>
        <v>1201000</v>
      </c>
      <c r="W35" s="51">
        <f>ROUND(W3+W15+W22+W34,5)</f>
        <v>1198500</v>
      </c>
      <c r="AB35" s="86"/>
      <c r="AC35" s="86"/>
      <c r="AD35" s="86" t="s">
        <v>101</v>
      </c>
      <c r="AE35" s="86"/>
      <c r="AF35" s="86"/>
      <c r="AG35" s="86"/>
      <c r="AH35" s="87"/>
      <c r="AI35" s="87"/>
      <c r="AJ35" s="87"/>
      <c r="AK35" s="87"/>
      <c r="AL35" s="87">
        <f t="shared" ref="AL35:AW35" si="13">ROUND(AL3+AL15+AL22+AL34,5)</f>
        <v>19157.96</v>
      </c>
      <c r="AM35" s="87">
        <f t="shared" si="13"/>
        <v>32762.26</v>
      </c>
      <c r="AN35" s="87">
        <f t="shared" si="13"/>
        <v>38581.82</v>
      </c>
      <c r="AO35" s="87">
        <f t="shared" si="13"/>
        <v>91690.13</v>
      </c>
      <c r="AP35" s="87">
        <f t="shared" si="13"/>
        <v>19284.080000000002</v>
      </c>
      <c r="AQ35" s="87">
        <f t="shared" si="13"/>
        <v>247789.42</v>
      </c>
      <c r="AR35" s="87">
        <f t="shared" si="13"/>
        <v>256344.78</v>
      </c>
      <c r="AS35" s="87">
        <f t="shared" si="13"/>
        <v>59246.37</v>
      </c>
      <c r="AT35" s="87">
        <f t="shared" si="13"/>
        <v>65460.81</v>
      </c>
      <c r="AU35" s="87">
        <f t="shared" si="13"/>
        <v>97264.65</v>
      </c>
      <c r="AV35" s="87">
        <f t="shared" si="13"/>
        <v>222938.27</v>
      </c>
      <c r="AW35" s="87">
        <f t="shared" si="13"/>
        <v>114688.35</v>
      </c>
      <c r="AX35" s="87"/>
      <c r="AY35" s="88">
        <f t="shared" si="9"/>
        <v>1265208.8999999999</v>
      </c>
      <c r="AZ35" s="88">
        <f>ROUND(AZ3+AZ15+AZ22+AZ34,5)</f>
        <v>1078800</v>
      </c>
      <c r="BA35" s="88">
        <f>ROUND(BA3+BA15+BA22+BA34,5)</f>
        <v>1201000</v>
      </c>
      <c r="BB35" s="89"/>
    </row>
    <row r="36" spans="1:54" hidden="1" x14ac:dyDescent="0.3">
      <c r="A36" s="50"/>
      <c r="B36" s="50"/>
      <c r="C36" s="50"/>
      <c r="D36" s="50" t="s">
        <v>101</v>
      </c>
      <c r="E36" s="50"/>
      <c r="F36" s="50"/>
      <c r="G36" s="50"/>
      <c r="H36" s="51"/>
      <c r="I36" s="51"/>
      <c r="J36" s="51"/>
      <c r="K36" s="51"/>
      <c r="L36" s="51"/>
      <c r="M36" s="51"/>
      <c r="N36" s="51"/>
      <c r="O36" s="51"/>
      <c r="P36" s="51"/>
      <c r="Q36" s="51"/>
      <c r="R36" s="51"/>
      <c r="S36" s="51"/>
      <c r="T36" s="51"/>
      <c r="U36" s="51"/>
      <c r="V36" s="51"/>
      <c r="W36" s="51"/>
      <c r="AB36" s="86"/>
      <c r="AC36" s="86"/>
      <c r="AD36" s="86"/>
      <c r="AE36" s="86" t="s">
        <v>102</v>
      </c>
      <c r="AF36" s="86"/>
      <c r="AG36" s="86"/>
      <c r="AH36" s="87"/>
      <c r="AI36" s="87"/>
      <c r="AJ36" s="87"/>
      <c r="AK36" s="87"/>
      <c r="AL36" s="87"/>
      <c r="AM36" s="87"/>
      <c r="AN36" s="87"/>
      <c r="AO36" s="87"/>
      <c r="AP36" s="87"/>
      <c r="AQ36" s="87"/>
      <c r="AR36" s="87"/>
      <c r="AS36" s="87"/>
      <c r="AT36" s="87"/>
      <c r="AU36" s="87"/>
      <c r="AV36" s="87"/>
      <c r="AW36" s="87"/>
      <c r="AX36" s="87"/>
      <c r="AY36" s="88"/>
      <c r="AZ36" s="88"/>
      <c r="BA36" s="88"/>
      <c r="BB36" s="89"/>
    </row>
    <row r="37" spans="1:54" hidden="1" x14ac:dyDescent="0.3">
      <c r="A37" s="50"/>
      <c r="B37" s="50"/>
      <c r="C37" s="50"/>
      <c r="D37" s="50"/>
      <c r="E37" s="50" t="s">
        <v>102</v>
      </c>
      <c r="F37" s="50"/>
      <c r="G37" s="50"/>
      <c r="H37" s="51">
        <v>0</v>
      </c>
      <c r="I37" s="51">
        <v>0</v>
      </c>
      <c r="J37" s="51">
        <v>0</v>
      </c>
      <c r="K37" s="51">
        <v>0</v>
      </c>
      <c r="L37" s="51">
        <v>0</v>
      </c>
      <c r="M37" s="51">
        <v>0</v>
      </c>
      <c r="N37" s="51">
        <v>0</v>
      </c>
      <c r="O37" s="51">
        <v>0</v>
      </c>
      <c r="P37" s="51">
        <v>0</v>
      </c>
      <c r="Q37" s="51">
        <v>0</v>
      </c>
      <c r="R37" s="51">
        <v>0</v>
      </c>
      <c r="S37" s="51">
        <v>0</v>
      </c>
      <c r="T37" s="51"/>
      <c r="U37" s="51">
        <f>ROUND(SUM(H37:T37),5)</f>
        <v>0</v>
      </c>
      <c r="V37" s="51">
        <v>0</v>
      </c>
      <c r="W37" s="51">
        <v>0</v>
      </c>
      <c r="AB37" s="86"/>
      <c r="AC37" s="86"/>
      <c r="AD37" s="86" t="s">
        <v>103</v>
      </c>
      <c r="AE37" s="86"/>
      <c r="AF37" s="86"/>
      <c r="AG37" s="86"/>
      <c r="AH37" s="87"/>
      <c r="AI37" s="87"/>
      <c r="AJ37" s="87"/>
      <c r="AK37" s="87"/>
      <c r="AL37" s="87">
        <v>0</v>
      </c>
      <c r="AM37" s="87">
        <v>0</v>
      </c>
      <c r="AN37" s="87">
        <v>0</v>
      </c>
      <c r="AO37" s="87">
        <v>0</v>
      </c>
      <c r="AP37" s="87">
        <v>0</v>
      </c>
      <c r="AQ37" s="87">
        <v>0</v>
      </c>
      <c r="AR37" s="87">
        <v>0</v>
      </c>
      <c r="AS37" s="87">
        <v>0</v>
      </c>
      <c r="AT37" s="87">
        <v>0</v>
      </c>
      <c r="AU37" s="87">
        <v>0</v>
      </c>
      <c r="AV37" s="87">
        <v>0</v>
      </c>
      <c r="AW37" s="87">
        <v>0</v>
      </c>
      <c r="AX37" s="87"/>
      <c r="AY37" s="88">
        <f>ROUND(SUM(AH37:AX37),5)</f>
        <v>0</v>
      </c>
      <c r="AZ37" s="88">
        <v>0</v>
      </c>
      <c r="BA37" s="88">
        <v>0</v>
      </c>
      <c r="BB37" s="89"/>
    </row>
    <row r="38" spans="1:54" ht="15" hidden="1" thickBot="1" x14ac:dyDescent="0.35">
      <c r="A38" s="50"/>
      <c r="B38" s="50"/>
      <c r="C38" s="50"/>
      <c r="D38" s="50" t="s">
        <v>103</v>
      </c>
      <c r="E38" s="50"/>
      <c r="F38" s="50"/>
      <c r="G38" s="50"/>
      <c r="H38" s="53">
        <f t="shared" ref="H38:P38" si="14">ROUND(SUM(H36:H37),5)</f>
        <v>0</v>
      </c>
      <c r="I38" s="53">
        <f t="shared" si="14"/>
        <v>0</v>
      </c>
      <c r="J38" s="53">
        <f t="shared" si="14"/>
        <v>0</v>
      </c>
      <c r="K38" s="53">
        <f t="shared" si="14"/>
        <v>0</v>
      </c>
      <c r="L38" s="53">
        <f t="shared" si="14"/>
        <v>0</v>
      </c>
      <c r="M38" s="53">
        <f t="shared" si="14"/>
        <v>0</v>
      </c>
      <c r="N38" s="53">
        <f t="shared" si="14"/>
        <v>0</v>
      </c>
      <c r="O38" s="53">
        <f t="shared" si="14"/>
        <v>0</v>
      </c>
      <c r="P38" s="53">
        <f t="shared" si="14"/>
        <v>0</v>
      </c>
      <c r="Q38" s="53">
        <f>ROUND(SUM(Q36:Q37),5)</f>
        <v>0</v>
      </c>
      <c r="R38" s="53">
        <f>ROUND(SUM(R36:R37),5)</f>
        <v>0</v>
      </c>
      <c r="S38" s="53">
        <f>ROUND(SUM(S36:S37),5)</f>
        <v>0</v>
      </c>
      <c r="T38" s="53"/>
      <c r="U38" s="53">
        <f>ROUND(SUM(H38:T38),5)</f>
        <v>0</v>
      </c>
      <c r="V38" s="53">
        <f>ROUND(SUM(V36:V37),5)</f>
        <v>0</v>
      </c>
      <c r="W38" s="53">
        <f>ROUND(SUM(W36:W37),5)</f>
        <v>0</v>
      </c>
      <c r="AB38" s="86"/>
      <c r="AC38" s="86" t="s">
        <v>104</v>
      </c>
      <c r="AD38" s="86"/>
      <c r="AE38" s="86"/>
      <c r="AF38" s="86"/>
      <c r="AG38" s="86"/>
      <c r="AH38" s="93"/>
      <c r="AI38" s="93"/>
      <c r="AJ38" s="93"/>
      <c r="AK38" s="93"/>
      <c r="AL38" s="93">
        <f t="shared" ref="AL38:AW38" si="15">ROUND(SUM(AL36:AL37),5)</f>
        <v>0</v>
      </c>
      <c r="AM38" s="93">
        <f t="shared" si="15"/>
        <v>0</v>
      </c>
      <c r="AN38" s="93">
        <f t="shared" si="15"/>
        <v>0</v>
      </c>
      <c r="AO38" s="93">
        <f t="shared" si="15"/>
        <v>0</v>
      </c>
      <c r="AP38" s="93">
        <f t="shared" si="15"/>
        <v>0</v>
      </c>
      <c r="AQ38" s="93">
        <f t="shared" si="15"/>
        <v>0</v>
      </c>
      <c r="AR38" s="93">
        <f t="shared" si="15"/>
        <v>0</v>
      </c>
      <c r="AS38" s="93">
        <f t="shared" si="15"/>
        <v>0</v>
      </c>
      <c r="AT38" s="93">
        <f t="shared" si="15"/>
        <v>0</v>
      </c>
      <c r="AU38" s="93">
        <f t="shared" si="15"/>
        <v>0</v>
      </c>
      <c r="AV38" s="93">
        <f t="shared" si="15"/>
        <v>0</v>
      </c>
      <c r="AW38" s="93">
        <f t="shared" si="15"/>
        <v>0</v>
      </c>
      <c r="AX38" s="93"/>
      <c r="AY38" s="94">
        <f>ROUND(SUM(AH38:AX38),5)</f>
        <v>0</v>
      </c>
      <c r="AZ38" s="94">
        <f>ROUND(SUM(AZ36:AZ37),5)</f>
        <v>0</v>
      </c>
      <c r="BA38" s="94">
        <f>ROUND(SUM(BA36:BA37),5)</f>
        <v>0</v>
      </c>
      <c r="BB38" s="95"/>
    </row>
    <row r="39" spans="1:54" hidden="1" x14ac:dyDescent="0.3">
      <c r="A39" s="50"/>
      <c r="B39" s="50"/>
      <c r="C39" s="50" t="s">
        <v>104</v>
      </c>
      <c r="D39" s="50"/>
      <c r="E39" s="50"/>
      <c r="F39" s="50"/>
      <c r="G39" s="50"/>
      <c r="H39" s="51">
        <f t="shared" ref="H39:P39" si="16">ROUND(H35-H38,5)</f>
        <v>61275.14</v>
      </c>
      <c r="I39" s="51">
        <f t="shared" si="16"/>
        <v>21077.040000000001</v>
      </c>
      <c r="J39" s="51">
        <f t="shared" si="16"/>
        <v>86259.35</v>
      </c>
      <c r="K39" s="51">
        <f t="shared" si="16"/>
        <v>85563.12</v>
      </c>
      <c r="L39" s="51">
        <f t="shared" si="16"/>
        <v>26431.9</v>
      </c>
      <c r="M39" s="51">
        <f t="shared" si="16"/>
        <v>297669.45</v>
      </c>
      <c r="N39" s="51">
        <f t="shared" si="16"/>
        <v>218782.29</v>
      </c>
      <c r="O39" s="51">
        <f t="shared" si="16"/>
        <v>59700.88</v>
      </c>
      <c r="P39" s="51">
        <f t="shared" si="16"/>
        <v>74424.84</v>
      </c>
      <c r="Q39" s="51">
        <f>ROUND(Q35-Q38,5)</f>
        <v>104610.76</v>
      </c>
      <c r="R39" s="51">
        <f>ROUND(R35-R38,5)</f>
        <v>275564.61</v>
      </c>
      <c r="S39" s="51">
        <f>ROUND(S35-S38,5)</f>
        <v>43652.36</v>
      </c>
      <c r="T39" s="51"/>
      <c r="U39" s="51">
        <f>ROUND(SUM(H39:T39),5)</f>
        <v>1355011.74</v>
      </c>
      <c r="V39" s="51">
        <f>ROUND(V35-V38,5)</f>
        <v>1201000</v>
      </c>
      <c r="W39" s="51">
        <f>ROUND(W35-W38,5)</f>
        <v>1198500</v>
      </c>
      <c r="AB39" s="86"/>
      <c r="AC39" s="86"/>
      <c r="AD39" s="86" t="s">
        <v>4</v>
      </c>
      <c r="AE39" s="86"/>
      <c r="AF39" s="86"/>
      <c r="AG39" s="86"/>
      <c r="AH39" s="87"/>
      <c r="AI39" s="87"/>
      <c r="AJ39" s="87"/>
      <c r="AK39" s="87"/>
      <c r="AL39" s="87">
        <f t="shared" ref="AL39:AW39" si="17">ROUND(AL35-AL38,5)</f>
        <v>19157.96</v>
      </c>
      <c r="AM39" s="87">
        <f t="shared" si="17"/>
        <v>32762.26</v>
      </c>
      <c r="AN39" s="87">
        <f t="shared" si="17"/>
        <v>38581.82</v>
      </c>
      <c r="AO39" s="87">
        <f t="shared" si="17"/>
        <v>91690.13</v>
      </c>
      <c r="AP39" s="87">
        <f t="shared" si="17"/>
        <v>19284.080000000002</v>
      </c>
      <c r="AQ39" s="87">
        <f t="shared" si="17"/>
        <v>247789.42</v>
      </c>
      <c r="AR39" s="87">
        <f t="shared" si="17"/>
        <v>256344.78</v>
      </c>
      <c r="AS39" s="87">
        <f t="shared" si="17"/>
        <v>59246.37</v>
      </c>
      <c r="AT39" s="87">
        <f t="shared" si="17"/>
        <v>65460.81</v>
      </c>
      <c r="AU39" s="87">
        <f t="shared" si="17"/>
        <v>97264.65</v>
      </c>
      <c r="AV39" s="87">
        <f t="shared" si="17"/>
        <v>222938.27</v>
      </c>
      <c r="AW39" s="87">
        <f t="shared" si="17"/>
        <v>114688.35</v>
      </c>
      <c r="AX39" s="87"/>
      <c r="AY39" s="88">
        <f>ROUND(SUM(AH39:AX39),5)</f>
        <v>1265208.8999999999</v>
      </c>
      <c r="AZ39" s="88">
        <f>ROUND(AZ35-AZ38,5)</f>
        <v>1078800</v>
      </c>
      <c r="BA39" s="88">
        <f>ROUND(BA35-BA38,5)</f>
        <v>1201000</v>
      </c>
      <c r="BB39" s="89"/>
    </row>
    <row r="40" spans="1:54" x14ac:dyDescent="0.3">
      <c r="A40" s="50"/>
      <c r="B40" s="50"/>
      <c r="C40" s="50"/>
      <c r="D40" s="50" t="s">
        <v>4</v>
      </c>
      <c r="E40" s="50"/>
      <c r="F40" s="50"/>
      <c r="G40" s="50"/>
      <c r="H40" s="51"/>
      <c r="I40" s="51"/>
      <c r="J40" s="51"/>
      <c r="K40" s="51"/>
      <c r="L40" s="51"/>
      <c r="M40" s="51"/>
      <c r="N40" s="51"/>
      <c r="O40" s="51"/>
      <c r="P40" s="51"/>
      <c r="Q40" s="51"/>
      <c r="R40" s="51"/>
      <c r="S40" s="51"/>
      <c r="T40" s="51"/>
      <c r="U40" s="51"/>
      <c r="V40" s="51"/>
      <c r="W40" s="51"/>
      <c r="AB40" s="86"/>
      <c r="AC40" s="86"/>
      <c r="AD40" s="86"/>
      <c r="AE40" s="86" t="s">
        <v>105</v>
      </c>
      <c r="AF40" s="86"/>
      <c r="AG40" s="86"/>
      <c r="AH40" s="87"/>
      <c r="AI40" s="87"/>
      <c r="AJ40" s="87"/>
      <c r="AK40" s="87"/>
      <c r="AL40" s="87"/>
      <c r="AM40" s="87"/>
      <c r="AN40" s="87"/>
      <c r="AO40" s="87"/>
      <c r="AP40" s="87"/>
      <c r="AQ40" s="87"/>
      <c r="AR40" s="87"/>
      <c r="AS40" s="87"/>
      <c r="AT40" s="87"/>
      <c r="AU40" s="87"/>
      <c r="AV40" s="87"/>
      <c r="AW40" s="87"/>
      <c r="AX40" s="87"/>
      <c r="AY40" s="88"/>
      <c r="AZ40" s="88"/>
      <c r="BA40" s="88"/>
      <c r="BB40" s="89"/>
    </row>
    <row r="41" spans="1:54" x14ac:dyDescent="0.3">
      <c r="A41" s="50"/>
      <c r="B41" s="50"/>
      <c r="C41" s="50"/>
      <c r="D41" s="50"/>
      <c r="E41" s="50" t="s">
        <v>105</v>
      </c>
      <c r="F41" s="50"/>
      <c r="G41" s="50"/>
      <c r="H41" s="51"/>
      <c r="I41" s="51"/>
      <c r="J41" s="51"/>
      <c r="K41" s="51"/>
      <c r="L41" s="51"/>
      <c r="M41" s="51"/>
      <c r="N41" s="51"/>
      <c r="O41" s="51"/>
      <c r="P41" s="51"/>
      <c r="Q41" s="51"/>
      <c r="R41" s="51"/>
      <c r="S41" s="51"/>
      <c r="T41" s="51"/>
      <c r="U41" s="51"/>
      <c r="V41" s="51"/>
      <c r="W41" s="51"/>
      <c r="AB41" s="86"/>
      <c r="AC41" s="86"/>
      <c r="AD41" s="86"/>
      <c r="AE41" s="86"/>
      <c r="AF41" s="86"/>
      <c r="AG41" s="86"/>
      <c r="AH41" s="87"/>
      <c r="AI41" s="87"/>
      <c r="AJ41" s="87"/>
      <c r="AK41" s="87"/>
      <c r="AL41" s="87"/>
      <c r="AM41" s="87"/>
      <c r="AN41" s="87"/>
      <c r="AO41" s="87"/>
      <c r="AP41" s="87"/>
      <c r="AQ41" s="87"/>
      <c r="AR41" s="87"/>
      <c r="AS41" s="87"/>
      <c r="AT41" s="87"/>
      <c r="AU41" s="87"/>
      <c r="AV41" s="87"/>
      <c r="AW41" s="87"/>
      <c r="AX41" s="87"/>
      <c r="AY41" s="88"/>
      <c r="AZ41" s="88"/>
      <c r="BA41" s="88"/>
      <c r="BB41" s="89"/>
    </row>
    <row r="42" spans="1:54" x14ac:dyDescent="0.3">
      <c r="A42" s="50"/>
      <c r="B42" s="50"/>
      <c r="C42" s="50"/>
      <c r="D42" s="50"/>
      <c r="E42" s="50"/>
      <c r="F42" s="50" t="s">
        <v>106</v>
      </c>
      <c r="G42" s="50"/>
      <c r="H42" s="51"/>
      <c r="I42" s="51"/>
      <c r="J42" s="51"/>
      <c r="K42" s="51"/>
      <c r="L42" s="51"/>
      <c r="M42" s="51"/>
      <c r="N42" s="51"/>
      <c r="O42" s="51"/>
      <c r="P42" s="51"/>
      <c r="Q42" s="51"/>
      <c r="R42" s="51"/>
      <c r="S42" s="51"/>
      <c r="T42" s="51"/>
      <c r="U42" s="51"/>
      <c r="V42" s="51"/>
      <c r="W42" s="51"/>
      <c r="AB42" s="86"/>
      <c r="AC42" s="86"/>
      <c r="AD42" s="86"/>
      <c r="AE42" s="86"/>
      <c r="AF42" s="86" t="s">
        <v>106</v>
      </c>
      <c r="AG42" s="86"/>
      <c r="AH42" s="87"/>
      <c r="AI42" s="87"/>
      <c r="AJ42" s="87"/>
      <c r="AK42" s="87"/>
      <c r="AL42" s="87"/>
      <c r="AM42" s="87"/>
      <c r="AN42" s="87"/>
      <c r="AO42" s="87"/>
      <c r="AP42" s="87"/>
      <c r="AQ42" s="87"/>
      <c r="AR42" s="87"/>
      <c r="AS42" s="87"/>
      <c r="AT42" s="87"/>
      <c r="AU42" s="87"/>
      <c r="AV42" s="87"/>
      <c r="AW42" s="87"/>
      <c r="AX42" s="87"/>
      <c r="AY42" s="88"/>
      <c r="AZ42" s="88"/>
      <c r="BA42" s="88"/>
      <c r="BB42" s="89"/>
    </row>
    <row r="43" spans="1:54" x14ac:dyDescent="0.3">
      <c r="A43" s="50"/>
      <c r="B43" s="50"/>
      <c r="C43" s="50"/>
      <c r="D43" s="50"/>
      <c r="E43" s="50"/>
      <c r="F43" s="50"/>
      <c r="G43" s="50" t="s">
        <v>107</v>
      </c>
      <c r="H43" s="51">
        <v>8772.68</v>
      </c>
      <c r="I43" s="51">
        <v>17294.16</v>
      </c>
      <c r="J43" s="51">
        <v>20600.22</v>
      </c>
      <c r="K43" s="51">
        <v>22987.7</v>
      </c>
      <c r="L43" s="51">
        <v>15845.14</v>
      </c>
      <c r="M43" s="51">
        <v>18074.96</v>
      </c>
      <c r="N43" s="51">
        <v>35615.51</v>
      </c>
      <c r="O43" s="51">
        <v>18384.71</v>
      </c>
      <c r="P43" s="51">
        <v>18295.900000000001</v>
      </c>
      <c r="Q43" s="51">
        <v>27577.57</v>
      </c>
      <c r="R43" s="51">
        <v>18483.97</v>
      </c>
      <c r="S43" s="51">
        <v>21987.85</v>
      </c>
      <c r="T43" s="51"/>
      <c r="U43" s="51">
        <f>ROUND(SUM(H43:T43),5)</f>
        <v>243920.37</v>
      </c>
      <c r="V43" s="67">
        <v>281000</v>
      </c>
      <c r="W43" s="67">
        <v>319000</v>
      </c>
      <c r="X43" s="68" t="s">
        <v>207</v>
      </c>
      <c r="AB43" s="86"/>
      <c r="AC43" s="86"/>
      <c r="AD43" s="86"/>
      <c r="AE43" s="86"/>
      <c r="AF43" s="86"/>
      <c r="AG43" s="86" t="s">
        <v>107</v>
      </c>
      <c r="AH43" s="87"/>
      <c r="AI43" s="87"/>
      <c r="AJ43" s="87"/>
      <c r="AK43" s="87"/>
      <c r="AL43" s="87">
        <v>8942.48</v>
      </c>
      <c r="AM43" s="87">
        <v>16476.650000000001</v>
      </c>
      <c r="AN43" s="87">
        <v>17665.79</v>
      </c>
      <c r="AO43" s="87">
        <v>27986.11</v>
      </c>
      <c r="AP43" s="87">
        <v>14362.23</v>
      </c>
      <c r="AQ43" s="87">
        <v>14423.56</v>
      </c>
      <c r="AR43" s="87">
        <v>24698.48</v>
      </c>
      <c r="AS43" s="87">
        <v>16746.79</v>
      </c>
      <c r="AT43" s="87">
        <v>16868.52</v>
      </c>
      <c r="AU43" s="87">
        <v>25401.13</v>
      </c>
      <c r="AV43" s="87">
        <v>26898.32</v>
      </c>
      <c r="AW43" s="87">
        <v>21343.49</v>
      </c>
      <c r="AX43" s="87"/>
      <c r="AY43" s="88">
        <f t="shared" ref="AY43:AY50" si="18">ROUND(SUM(AH43:AX43),5)</f>
        <v>231813.55</v>
      </c>
      <c r="AZ43" s="88">
        <v>235000</v>
      </c>
      <c r="BA43" s="88">
        <v>281000</v>
      </c>
      <c r="BB43" s="89" t="s">
        <v>207</v>
      </c>
    </row>
    <row r="44" spans="1:54" x14ac:dyDescent="0.3">
      <c r="A44" s="50"/>
      <c r="B44" s="50"/>
      <c r="C44" s="50"/>
      <c r="D44" s="50"/>
      <c r="E44" s="50"/>
      <c r="F44" s="50"/>
      <c r="G44" s="50" t="s">
        <v>108</v>
      </c>
      <c r="H44" s="51">
        <v>0</v>
      </c>
      <c r="I44" s="51">
        <v>0</v>
      </c>
      <c r="J44" s="51">
        <v>0</v>
      </c>
      <c r="K44" s="51">
        <v>0</v>
      </c>
      <c r="L44" s="51">
        <v>0</v>
      </c>
      <c r="M44" s="51">
        <v>6280.13</v>
      </c>
      <c r="N44" s="51">
        <v>0</v>
      </c>
      <c r="O44" s="51">
        <v>0</v>
      </c>
      <c r="P44" s="51">
        <v>0</v>
      </c>
      <c r="Q44" s="51">
        <v>0</v>
      </c>
      <c r="R44" s="51">
        <v>0</v>
      </c>
      <c r="S44" s="51">
        <v>0</v>
      </c>
      <c r="T44" s="51"/>
      <c r="U44" s="51">
        <f>ROUND(SUM(H44:T44),5)</f>
        <v>6280.13</v>
      </c>
      <c r="V44" s="67">
        <v>5000</v>
      </c>
      <c r="W44" s="67">
        <v>6500</v>
      </c>
      <c r="X44" s="68" t="s">
        <v>207</v>
      </c>
      <c r="AB44" s="86"/>
      <c r="AC44" s="86"/>
      <c r="AD44" s="86"/>
      <c r="AE44" s="86"/>
      <c r="AF44" s="86"/>
      <c r="AG44" s="86" t="s">
        <v>212</v>
      </c>
      <c r="AH44" s="87"/>
      <c r="AI44" s="87"/>
      <c r="AJ44" s="87"/>
      <c r="AK44" s="87"/>
      <c r="AL44" s="87">
        <v>0</v>
      </c>
      <c r="AM44" s="87">
        <v>0</v>
      </c>
      <c r="AN44" s="87">
        <v>0</v>
      </c>
      <c r="AO44" s="87">
        <v>0</v>
      </c>
      <c r="AP44" s="87">
        <v>0</v>
      </c>
      <c r="AQ44" s="87">
        <v>0</v>
      </c>
      <c r="AR44" s="87">
        <v>0</v>
      </c>
      <c r="AS44" s="87">
        <v>0</v>
      </c>
      <c r="AT44" s="87">
        <v>0</v>
      </c>
      <c r="AU44" s="87">
        <v>0</v>
      </c>
      <c r="AV44" s="87">
        <v>0</v>
      </c>
      <c r="AW44" s="87">
        <v>0</v>
      </c>
      <c r="AX44" s="87"/>
      <c r="AY44" s="88">
        <f t="shared" si="18"/>
        <v>0</v>
      </c>
      <c r="AZ44" s="88">
        <v>43680</v>
      </c>
      <c r="BA44" s="88">
        <v>43680</v>
      </c>
      <c r="BB44" s="89" t="s">
        <v>245</v>
      </c>
    </row>
    <row r="45" spans="1:54" ht="21.6" x14ac:dyDescent="0.3">
      <c r="A45" s="50"/>
      <c r="B45" s="50"/>
      <c r="C45" s="50"/>
      <c r="D45" s="50"/>
      <c r="E45" s="50"/>
      <c r="F45" s="50"/>
      <c r="G45" s="50" t="s">
        <v>276</v>
      </c>
      <c r="H45" s="51">
        <v>0</v>
      </c>
      <c r="I45" s="51">
        <v>0</v>
      </c>
      <c r="J45" s="51">
        <v>0</v>
      </c>
      <c r="K45" s="51">
        <v>0</v>
      </c>
      <c r="L45" s="51">
        <v>0</v>
      </c>
      <c r="M45" s="51">
        <v>0</v>
      </c>
      <c r="N45" s="51">
        <v>0</v>
      </c>
      <c r="O45" s="51">
        <v>0</v>
      </c>
      <c r="P45" s="51">
        <v>0</v>
      </c>
      <c r="Q45" s="51">
        <v>0</v>
      </c>
      <c r="R45" s="51">
        <v>0</v>
      </c>
      <c r="S45" s="51">
        <v>0</v>
      </c>
      <c r="T45" s="51"/>
      <c r="U45" s="51">
        <f>ROUND(SUM(H45:T45),5)</f>
        <v>0</v>
      </c>
      <c r="V45" s="67">
        <v>5500</v>
      </c>
      <c r="W45" s="67">
        <v>0</v>
      </c>
      <c r="X45" s="68" t="s">
        <v>305</v>
      </c>
      <c r="AB45" s="86"/>
      <c r="AC45" s="86"/>
      <c r="AD45" s="86"/>
      <c r="AE45" s="86"/>
      <c r="AF45" s="86"/>
      <c r="AG45" s="86" t="s">
        <v>108</v>
      </c>
      <c r="AH45" s="87"/>
      <c r="AI45" s="87"/>
      <c r="AJ45" s="87"/>
      <c r="AK45" s="87"/>
      <c r="AL45" s="87">
        <v>0</v>
      </c>
      <c r="AM45" s="87">
        <v>0</v>
      </c>
      <c r="AN45" s="87">
        <v>0</v>
      </c>
      <c r="AO45" s="87">
        <v>0</v>
      </c>
      <c r="AP45" s="87">
        <v>0</v>
      </c>
      <c r="AQ45" s="87">
        <v>3986.45</v>
      </c>
      <c r="AR45" s="87">
        <v>0</v>
      </c>
      <c r="AS45" s="87">
        <v>0</v>
      </c>
      <c r="AT45" s="87">
        <v>0</v>
      </c>
      <c r="AU45" s="87">
        <v>6572.5</v>
      </c>
      <c r="AV45" s="87">
        <v>0</v>
      </c>
      <c r="AW45" s="87">
        <v>0</v>
      </c>
      <c r="AX45" s="87"/>
      <c r="AY45" s="88">
        <f t="shared" si="18"/>
        <v>10558.95</v>
      </c>
      <c r="AZ45" s="88">
        <v>4500</v>
      </c>
      <c r="BA45" s="88">
        <v>5000</v>
      </c>
      <c r="BB45" s="89" t="s">
        <v>207</v>
      </c>
    </row>
    <row r="46" spans="1:54" ht="15" thickBot="1" x14ac:dyDescent="0.35">
      <c r="A46" s="50"/>
      <c r="B46" s="50"/>
      <c r="C46" s="50"/>
      <c r="D46" s="50"/>
      <c r="E46" s="50"/>
      <c r="F46" s="50"/>
      <c r="G46" s="50" t="s">
        <v>109</v>
      </c>
      <c r="H46" s="52">
        <v>35.64</v>
      </c>
      <c r="I46" s="52">
        <v>35.64</v>
      </c>
      <c r="J46" s="52">
        <v>35.64</v>
      </c>
      <c r="K46" s="52">
        <v>35.64</v>
      </c>
      <c r="L46" s="52">
        <v>35.64</v>
      </c>
      <c r="M46" s="52">
        <v>35.64</v>
      </c>
      <c r="N46" s="52">
        <v>35.64</v>
      </c>
      <c r="O46" s="52">
        <v>35.64</v>
      </c>
      <c r="P46" s="52">
        <v>35.64</v>
      </c>
      <c r="Q46" s="52">
        <v>35.64</v>
      </c>
      <c r="R46" s="52">
        <v>35.64</v>
      </c>
      <c r="S46" s="52">
        <v>35.64</v>
      </c>
      <c r="T46" s="52"/>
      <c r="U46" s="52">
        <f>ROUND(SUM(H46:T46),5)</f>
        <v>427.68</v>
      </c>
      <c r="V46" s="69">
        <v>450</v>
      </c>
      <c r="W46" s="69">
        <v>450</v>
      </c>
      <c r="X46" s="68" t="s">
        <v>207</v>
      </c>
      <c r="AB46" s="86"/>
      <c r="AC46" s="86"/>
      <c r="AD46" s="86"/>
      <c r="AE46" s="86"/>
      <c r="AF46" s="86"/>
      <c r="AG46" s="86" t="s">
        <v>237</v>
      </c>
      <c r="AH46" s="87"/>
      <c r="AI46" s="87"/>
      <c r="AJ46" s="87"/>
      <c r="AK46" s="87"/>
      <c r="AL46" s="87">
        <v>0</v>
      </c>
      <c r="AM46" s="87">
        <v>0</v>
      </c>
      <c r="AN46" s="87">
        <v>0</v>
      </c>
      <c r="AO46" s="87">
        <v>0</v>
      </c>
      <c r="AP46" s="87">
        <v>0</v>
      </c>
      <c r="AQ46" s="87">
        <v>0</v>
      </c>
      <c r="AR46" s="87">
        <v>0</v>
      </c>
      <c r="AS46" s="87">
        <v>0</v>
      </c>
      <c r="AT46" s="87">
        <v>0</v>
      </c>
      <c r="AU46" s="87">
        <v>0</v>
      </c>
      <c r="AV46" s="87">
        <v>0</v>
      </c>
      <c r="AW46" s="87">
        <v>0</v>
      </c>
      <c r="AX46" s="87"/>
      <c r="AY46" s="88">
        <f t="shared" si="18"/>
        <v>0</v>
      </c>
      <c r="AZ46" s="88">
        <v>5100</v>
      </c>
      <c r="BA46" s="88">
        <v>5500</v>
      </c>
      <c r="BB46" s="89" t="s">
        <v>207</v>
      </c>
    </row>
    <row r="47" spans="1:54" ht="15" thickBot="1" x14ac:dyDescent="0.35">
      <c r="A47" s="50"/>
      <c r="B47" s="50"/>
      <c r="C47" s="50"/>
      <c r="D47" s="50"/>
      <c r="E47" s="50"/>
      <c r="F47" s="50" t="s">
        <v>110</v>
      </c>
      <c r="G47" s="50"/>
      <c r="H47" s="51">
        <f t="shared" ref="H47:S47" si="19">ROUND(SUM(H42:H46),5)</f>
        <v>8808.32</v>
      </c>
      <c r="I47" s="51">
        <f t="shared" si="19"/>
        <v>17329.8</v>
      </c>
      <c r="J47" s="51">
        <f t="shared" si="19"/>
        <v>20635.86</v>
      </c>
      <c r="K47" s="51">
        <f t="shared" si="19"/>
        <v>23023.34</v>
      </c>
      <c r="L47" s="51">
        <f t="shared" si="19"/>
        <v>15880.78</v>
      </c>
      <c r="M47" s="51">
        <f t="shared" si="19"/>
        <v>24390.73</v>
      </c>
      <c r="N47" s="51">
        <f t="shared" si="19"/>
        <v>35651.15</v>
      </c>
      <c r="O47" s="51">
        <f t="shared" si="19"/>
        <v>18420.349999999999</v>
      </c>
      <c r="P47" s="51">
        <f t="shared" si="19"/>
        <v>18331.54</v>
      </c>
      <c r="Q47" s="51">
        <f t="shared" si="19"/>
        <v>27613.21</v>
      </c>
      <c r="R47" s="51">
        <f t="shared" si="19"/>
        <v>18519.61</v>
      </c>
      <c r="S47" s="51">
        <f t="shared" si="19"/>
        <v>22023.49</v>
      </c>
      <c r="T47" s="51"/>
      <c r="U47" s="51">
        <f>ROUND(SUM(H47:T47),5)</f>
        <v>250628.18</v>
      </c>
      <c r="V47" s="51">
        <f>ROUND(SUM(V42:V46),5)</f>
        <v>291950</v>
      </c>
      <c r="W47" s="51">
        <f>ROUND(SUM(W42:W46),5)</f>
        <v>325950</v>
      </c>
      <c r="AB47" s="86"/>
      <c r="AC47" s="86"/>
      <c r="AD47" s="86"/>
      <c r="AE47" s="86"/>
      <c r="AF47" s="86"/>
      <c r="AG47" s="86" t="s">
        <v>109</v>
      </c>
      <c r="AH47" s="90"/>
      <c r="AI47" s="90"/>
      <c r="AJ47" s="90"/>
      <c r="AK47" s="90"/>
      <c r="AL47" s="90">
        <v>35.64</v>
      </c>
      <c r="AM47" s="90">
        <v>35.64</v>
      </c>
      <c r="AN47" s="90">
        <v>35.64</v>
      </c>
      <c r="AO47" s="90">
        <v>35.64</v>
      </c>
      <c r="AP47" s="90">
        <v>35.64</v>
      </c>
      <c r="AQ47" s="90">
        <v>35.64</v>
      </c>
      <c r="AR47" s="90">
        <v>35.64</v>
      </c>
      <c r="AS47" s="90">
        <v>35.64</v>
      </c>
      <c r="AT47" s="90">
        <v>35.64</v>
      </c>
      <c r="AU47" s="90">
        <v>35.64</v>
      </c>
      <c r="AV47" s="90">
        <v>35.64</v>
      </c>
      <c r="AW47" s="90">
        <v>35.64</v>
      </c>
      <c r="AX47" s="90"/>
      <c r="AY47" s="91">
        <f t="shared" si="18"/>
        <v>427.68</v>
      </c>
      <c r="AZ47" s="91">
        <v>450</v>
      </c>
      <c r="BA47" s="91">
        <v>450</v>
      </c>
      <c r="BB47" s="92"/>
    </row>
    <row r="48" spans="1:54" x14ac:dyDescent="0.3">
      <c r="A48" s="50"/>
      <c r="B48" s="50"/>
      <c r="C48" s="50"/>
      <c r="D48" s="50"/>
      <c r="E48" s="50"/>
      <c r="F48" s="50"/>
      <c r="G48" s="50"/>
      <c r="H48" s="51"/>
      <c r="I48" s="51"/>
      <c r="J48" s="51"/>
      <c r="K48" s="51"/>
      <c r="L48" s="51"/>
      <c r="M48" s="51"/>
      <c r="N48" s="51"/>
      <c r="O48" s="51"/>
      <c r="P48" s="51"/>
      <c r="Q48" s="51"/>
      <c r="R48" s="51"/>
      <c r="S48" s="51"/>
      <c r="T48" s="51"/>
      <c r="U48" s="51"/>
      <c r="V48" s="51"/>
      <c r="W48" s="51"/>
      <c r="AB48" s="86"/>
      <c r="AC48" s="86"/>
      <c r="AD48" s="86"/>
      <c r="AE48" s="86"/>
      <c r="AF48" s="86"/>
      <c r="AG48" s="86"/>
      <c r="AH48" s="87"/>
      <c r="AI48" s="87"/>
      <c r="AJ48" s="87"/>
      <c r="AK48" s="87"/>
      <c r="AL48" s="87"/>
      <c r="AM48" s="87"/>
      <c r="AN48" s="87"/>
      <c r="AO48" s="87"/>
      <c r="AP48" s="87"/>
      <c r="AQ48" s="87"/>
      <c r="AR48" s="87"/>
      <c r="AS48" s="87"/>
      <c r="AT48" s="87"/>
      <c r="AU48" s="87"/>
      <c r="AV48" s="87"/>
      <c r="AW48" s="87"/>
      <c r="AX48" s="87"/>
      <c r="AY48" s="88"/>
      <c r="AZ48" s="88"/>
      <c r="BA48" s="88"/>
      <c r="BB48" s="89"/>
    </row>
    <row r="49" spans="1:54" x14ac:dyDescent="0.3">
      <c r="A49" s="50"/>
      <c r="B49" s="50"/>
      <c r="C49" s="50"/>
      <c r="D49" s="50"/>
      <c r="E49" s="50"/>
      <c r="F49" s="50"/>
      <c r="G49" s="50"/>
      <c r="H49" s="51"/>
      <c r="I49" s="51"/>
      <c r="J49" s="51"/>
      <c r="K49" s="51"/>
      <c r="L49" s="51"/>
      <c r="M49" s="51"/>
      <c r="N49" s="51"/>
      <c r="O49" s="51"/>
      <c r="P49" s="51"/>
      <c r="Q49" s="51"/>
      <c r="R49" s="51"/>
      <c r="S49" s="51"/>
      <c r="T49" s="51"/>
      <c r="U49" s="51"/>
      <c r="V49" s="51"/>
      <c r="W49" s="51"/>
      <c r="AB49" s="86"/>
      <c r="AC49" s="86"/>
      <c r="AD49" s="86"/>
      <c r="AE49" s="86"/>
      <c r="AF49" s="86"/>
      <c r="AG49" s="86"/>
      <c r="AH49" s="87"/>
      <c r="AI49" s="87"/>
      <c r="AJ49" s="87"/>
      <c r="AK49" s="87"/>
      <c r="AL49" s="87"/>
      <c r="AM49" s="87"/>
      <c r="AN49" s="87"/>
      <c r="AO49" s="87"/>
      <c r="AP49" s="87"/>
      <c r="AQ49" s="87"/>
      <c r="AR49" s="87"/>
      <c r="AS49" s="87"/>
      <c r="AT49" s="87"/>
      <c r="AU49" s="87"/>
      <c r="AV49" s="87"/>
      <c r="AW49" s="87"/>
      <c r="AX49" s="87"/>
      <c r="AY49" s="88"/>
      <c r="AZ49" s="88"/>
      <c r="BA49" s="88"/>
      <c r="BB49" s="89"/>
    </row>
    <row r="50" spans="1:54" x14ac:dyDescent="0.3">
      <c r="A50" s="50"/>
      <c r="B50" s="50"/>
      <c r="C50" s="50"/>
      <c r="D50" s="50"/>
      <c r="E50" s="50"/>
      <c r="F50" s="50" t="s">
        <v>277</v>
      </c>
      <c r="G50" s="50"/>
      <c r="H50" s="51"/>
      <c r="I50" s="51"/>
      <c r="J50" s="51"/>
      <c r="K50" s="51"/>
      <c r="L50" s="51"/>
      <c r="M50" s="51"/>
      <c r="N50" s="51"/>
      <c r="O50" s="51"/>
      <c r="P50" s="51"/>
      <c r="Q50" s="51"/>
      <c r="R50" s="51"/>
      <c r="S50" s="51"/>
      <c r="T50" s="51"/>
      <c r="U50" s="51"/>
      <c r="V50" s="51"/>
      <c r="W50" s="51"/>
      <c r="AB50" s="86"/>
      <c r="AC50" s="86"/>
      <c r="AD50" s="86"/>
      <c r="AE50" s="86"/>
      <c r="AF50" s="86" t="s">
        <v>110</v>
      </c>
      <c r="AG50" s="86"/>
      <c r="AH50" s="87"/>
      <c r="AI50" s="87"/>
      <c r="AJ50" s="87"/>
      <c r="AK50" s="87"/>
      <c r="AL50" s="87">
        <f t="shared" ref="AL50:AW50" si="20">ROUND(SUM(AL42:AL47),5)</f>
        <v>8978.1200000000008</v>
      </c>
      <c r="AM50" s="87">
        <f t="shared" si="20"/>
        <v>16512.29</v>
      </c>
      <c r="AN50" s="87">
        <f t="shared" si="20"/>
        <v>17701.43</v>
      </c>
      <c r="AO50" s="87">
        <f t="shared" si="20"/>
        <v>28021.75</v>
      </c>
      <c r="AP50" s="87">
        <f t="shared" si="20"/>
        <v>14397.87</v>
      </c>
      <c r="AQ50" s="87">
        <f t="shared" si="20"/>
        <v>18445.650000000001</v>
      </c>
      <c r="AR50" s="87">
        <f t="shared" si="20"/>
        <v>24734.12</v>
      </c>
      <c r="AS50" s="87">
        <f t="shared" si="20"/>
        <v>16782.43</v>
      </c>
      <c r="AT50" s="87">
        <f t="shared" si="20"/>
        <v>16904.16</v>
      </c>
      <c r="AU50" s="87">
        <f t="shared" si="20"/>
        <v>32009.27</v>
      </c>
      <c r="AV50" s="87">
        <f t="shared" si="20"/>
        <v>26933.96</v>
      </c>
      <c r="AW50" s="87">
        <f t="shared" si="20"/>
        <v>21379.13</v>
      </c>
      <c r="AX50" s="87"/>
      <c r="AY50" s="88">
        <f t="shared" si="18"/>
        <v>242800.18</v>
      </c>
      <c r="AZ50" s="88">
        <f>ROUND(SUM(AZ42:AZ47),5)</f>
        <v>288730</v>
      </c>
      <c r="BA50" s="88">
        <f>ROUND(SUM(BA42:BA47),5)</f>
        <v>335630</v>
      </c>
      <c r="BB50" s="89"/>
    </row>
    <row r="51" spans="1:54" ht="15" thickBot="1" x14ac:dyDescent="0.35">
      <c r="A51" s="50"/>
      <c r="B51" s="50"/>
      <c r="C51" s="50"/>
      <c r="D51" s="50"/>
      <c r="E51" s="50"/>
      <c r="F51" s="50"/>
      <c r="G51" s="50" t="s">
        <v>212</v>
      </c>
      <c r="H51" s="52">
        <v>0</v>
      </c>
      <c r="I51" s="52">
        <v>0</v>
      </c>
      <c r="J51" s="52">
        <v>0</v>
      </c>
      <c r="K51" s="52">
        <v>1254.4000000000001</v>
      </c>
      <c r="L51" s="52">
        <v>851.2</v>
      </c>
      <c r="M51" s="52">
        <v>0</v>
      </c>
      <c r="N51" s="52">
        <v>0</v>
      </c>
      <c r="O51" s="52">
        <v>0</v>
      </c>
      <c r="P51" s="52">
        <v>0</v>
      </c>
      <c r="Q51" s="52">
        <v>0</v>
      </c>
      <c r="R51" s="52">
        <v>0</v>
      </c>
      <c r="S51" s="52">
        <v>0</v>
      </c>
      <c r="T51" s="52"/>
      <c r="U51" s="52">
        <f>ROUND(SUM(H51:T51),5)</f>
        <v>2105.6</v>
      </c>
      <c r="V51" s="52">
        <v>43680</v>
      </c>
      <c r="W51" s="52">
        <v>0</v>
      </c>
      <c r="X51" s="68" t="s">
        <v>297</v>
      </c>
      <c r="AB51" s="86"/>
      <c r="AC51" s="86"/>
      <c r="AD51" s="86"/>
      <c r="AE51" s="86"/>
      <c r="AF51" s="86"/>
      <c r="AG51" s="86"/>
      <c r="AH51" s="87"/>
      <c r="AI51" s="87"/>
      <c r="AJ51" s="87"/>
      <c r="AK51" s="87"/>
      <c r="AL51" s="87"/>
      <c r="AM51" s="87"/>
      <c r="AN51" s="87"/>
      <c r="AO51" s="87"/>
      <c r="AP51" s="87"/>
      <c r="AQ51" s="87"/>
      <c r="AR51" s="87"/>
      <c r="AS51" s="87"/>
      <c r="AT51" s="87"/>
      <c r="AU51" s="87"/>
      <c r="AV51" s="87"/>
      <c r="AW51" s="87"/>
      <c r="AX51" s="87"/>
      <c r="AY51" s="88"/>
      <c r="AZ51" s="88"/>
      <c r="BA51" s="88"/>
      <c r="BB51" s="89"/>
    </row>
    <row r="52" spans="1:54" x14ac:dyDescent="0.3">
      <c r="A52" s="50"/>
      <c r="B52" s="50"/>
      <c r="C52" s="50"/>
      <c r="D52" s="50"/>
      <c r="E52" s="50"/>
      <c r="F52" s="50" t="s">
        <v>278</v>
      </c>
      <c r="G52" s="50"/>
      <c r="H52" s="51">
        <f t="shared" ref="H52:P52" si="21">ROUND(SUM(H50:H51),5)</f>
        <v>0</v>
      </c>
      <c r="I52" s="51">
        <f t="shared" si="21"/>
        <v>0</v>
      </c>
      <c r="J52" s="51">
        <f t="shared" si="21"/>
        <v>0</v>
      </c>
      <c r="K52" s="51">
        <f t="shared" si="21"/>
        <v>1254.4000000000001</v>
      </c>
      <c r="L52" s="51">
        <f t="shared" si="21"/>
        <v>851.2</v>
      </c>
      <c r="M52" s="51">
        <f t="shared" si="21"/>
        <v>0</v>
      </c>
      <c r="N52" s="51">
        <f t="shared" si="21"/>
        <v>0</v>
      </c>
      <c r="O52" s="51">
        <f t="shared" si="21"/>
        <v>0</v>
      </c>
      <c r="P52" s="51">
        <f t="shared" si="21"/>
        <v>0</v>
      </c>
      <c r="Q52" s="51">
        <f>ROUND(SUM(Q50:Q51),5)</f>
        <v>0</v>
      </c>
      <c r="R52" s="51">
        <f>ROUND(SUM(R50:R51),5)</f>
        <v>0</v>
      </c>
      <c r="S52" s="51">
        <f>ROUND(SUM(S50:S51),5)</f>
        <v>0</v>
      </c>
      <c r="T52" s="51"/>
      <c r="U52" s="51">
        <f>ROUND(SUM(H52:T52),5)</f>
        <v>2105.6</v>
      </c>
      <c r="V52" s="51">
        <f>ROUND(SUM(V50:V51),5)</f>
        <v>43680</v>
      </c>
      <c r="W52" s="51">
        <f>ROUND(SUM(W50:W51),5)</f>
        <v>0</v>
      </c>
      <c r="AB52" s="86"/>
      <c r="AC52" s="86"/>
      <c r="AD52" s="86"/>
      <c r="AE52" s="86"/>
      <c r="AF52" s="86"/>
      <c r="AG52" s="86"/>
      <c r="AH52" s="87"/>
      <c r="AI52" s="87"/>
      <c r="AJ52" s="87"/>
      <c r="AK52" s="87"/>
      <c r="AL52" s="87"/>
      <c r="AM52" s="87"/>
      <c r="AN52" s="87"/>
      <c r="AO52" s="87"/>
      <c r="AP52" s="87"/>
      <c r="AQ52" s="87"/>
      <c r="AR52" s="87"/>
      <c r="AS52" s="87"/>
      <c r="AT52" s="87"/>
      <c r="AU52" s="87"/>
      <c r="AV52" s="87"/>
      <c r="AW52" s="87"/>
      <c r="AX52" s="87"/>
      <c r="AY52" s="88"/>
      <c r="AZ52" s="88"/>
      <c r="BA52" s="88"/>
      <c r="BB52" s="89"/>
    </row>
    <row r="53" spans="1:54" x14ac:dyDescent="0.3">
      <c r="A53" s="50"/>
      <c r="B53" s="50"/>
      <c r="C53" s="50"/>
      <c r="D53" s="50"/>
      <c r="E53" s="50"/>
      <c r="F53" s="50" t="s">
        <v>111</v>
      </c>
      <c r="G53" s="50"/>
      <c r="H53" s="51"/>
      <c r="I53" s="51"/>
      <c r="J53" s="51"/>
      <c r="K53" s="51"/>
      <c r="L53" s="51"/>
      <c r="M53" s="51"/>
      <c r="N53" s="51"/>
      <c r="O53" s="51"/>
      <c r="P53" s="51"/>
      <c r="Q53" s="51"/>
      <c r="R53" s="51"/>
      <c r="S53" s="51"/>
      <c r="T53" s="51"/>
      <c r="U53" s="51"/>
      <c r="V53" s="51"/>
      <c r="W53" s="51"/>
      <c r="AB53" s="86"/>
      <c r="AC53" s="86"/>
      <c r="AD53" s="86"/>
      <c r="AE53" s="86"/>
      <c r="AF53" s="86" t="s">
        <v>111</v>
      </c>
      <c r="AG53" s="86"/>
      <c r="AH53" s="87"/>
      <c r="AI53" s="87"/>
      <c r="AJ53" s="87"/>
      <c r="AK53" s="87"/>
      <c r="AL53" s="87"/>
      <c r="AM53" s="87"/>
      <c r="AN53" s="87"/>
      <c r="AO53" s="87"/>
      <c r="AP53" s="87"/>
      <c r="AQ53" s="87"/>
      <c r="AR53" s="87"/>
      <c r="AS53" s="87"/>
      <c r="AT53" s="87"/>
      <c r="AU53" s="87"/>
      <c r="AV53" s="87"/>
      <c r="AW53" s="87"/>
      <c r="AX53" s="87"/>
      <c r="AY53" s="88"/>
      <c r="AZ53" s="88"/>
      <c r="BA53" s="88"/>
      <c r="BB53" s="89"/>
    </row>
    <row r="54" spans="1:54" x14ac:dyDescent="0.3">
      <c r="A54" s="50"/>
      <c r="B54" s="50"/>
      <c r="C54" s="50"/>
      <c r="D54" s="50"/>
      <c r="E54" s="50"/>
      <c r="F54" s="50"/>
      <c r="G54" s="50" t="s">
        <v>112</v>
      </c>
      <c r="H54" s="51">
        <v>1363.28</v>
      </c>
      <c r="I54" s="51">
        <v>1867.01</v>
      </c>
      <c r="J54" s="51">
        <v>656.6</v>
      </c>
      <c r="K54" s="51">
        <v>1950.84</v>
      </c>
      <c r="L54" s="51">
        <v>1313.48</v>
      </c>
      <c r="M54" s="51">
        <v>1320.95</v>
      </c>
      <c r="N54" s="51">
        <v>1321.44</v>
      </c>
      <c r="O54" s="51">
        <v>1329.6</v>
      </c>
      <c r="P54" s="51">
        <v>1319.97</v>
      </c>
      <c r="Q54" s="51">
        <v>1985.98</v>
      </c>
      <c r="R54" s="51">
        <v>1328.89</v>
      </c>
      <c r="S54" s="51">
        <v>1197.02</v>
      </c>
      <c r="T54" s="51"/>
      <c r="U54" s="51">
        <f>ROUND(SUM(H54:T54),5)</f>
        <v>16955.060000000001</v>
      </c>
      <c r="V54" s="51">
        <v>21000</v>
      </c>
      <c r="W54" s="51">
        <v>23500</v>
      </c>
      <c r="X54" s="68" t="s">
        <v>207</v>
      </c>
      <c r="AB54" s="86"/>
      <c r="AC54" s="86"/>
      <c r="AD54" s="86"/>
      <c r="AE54" s="86"/>
      <c r="AF54" s="86"/>
      <c r="AG54" s="86" t="s">
        <v>112</v>
      </c>
      <c r="AH54" s="87"/>
      <c r="AI54" s="87"/>
      <c r="AJ54" s="87"/>
      <c r="AK54" s="87"/>
      <c r="AL54" s="87">
        <v>1292.3</v>
      </c>
      <c r="AM54" s="87">
        <v>1764.12</v>
      </c>
      <c r="AN54" s="87">
        <v>589.02</v>
      </c>
      <c r="AO54" s="87">
        <v>2195.9699999999998</v>
      </c>
      <c r="AP54" s="87">
        <v>1217.4100000000001</v>
      </c>
      <c r="AQ54" s="87">
        <v>1220.48</v>
      </c>
      <c r="AR54" s="87">
        <v>1228.23</v>
      </c>
      <c r="AS54" s="87">
        <v>1225.46</v>
      </c>
      <c r="AT54" s="87">
        <v>1234.52</v>
      </c>
      <c r="AU54" s="87">
        <v>1839.28</v>
      </c>
      <c r="AV54" s="87">
        <v>1239.45</v>
      </c>
      <c r="AW54" s="87">
        <v>1365.34</v>
      </c>
      <c r="AX54" s="87"/>
      <c r="AY54" s="88">
        <f>ROUND(SUM(AH54:AX54),5)</f>
        <v>16411.580000000002</v>
      </c>
      <c r="AZ54" s="88">
        <v>16100</v>
      </c>
      <c r="BA54" s="88">
        <v>21000</v>
      </c>
      <c r="BB54" s="89" t="s">
        <v>207</v>
      </c>
    </row>
    <row r="55" spans="1:54" ht="15" thickBot="1" x14ac:dyDescent="0.35">
      <c r="A55" s="50"/>
      <c r="B55" s="50"/>
      <c r="C55" s="50"/>
      <c r="D55" s="50"/>
      <c r="E55" s="50"/>
      <c r="F55" s="50"/>
      <c r="G55" s="50" t="s">
        <v>113</v>
      </c>
      <c r="H55" s="52">
        <v>0</v>
      </c>
      <c r="I55" s="52">
        <v>626.04</v>
      </c>
      <c r="J55" s="52">
        <v>-626.04</v>
      </c>
      <c r="K55" s="52">
        <v>0</v>
      </c>
      <c r="L55" s="52">
        <v>0</v>
      </c>
      <c r="M55" s="52">
        <v>0</v>
      </c>
      <c r="N55" s="52">
        <v>0</v>
      </c>
      <c r="O55" s="52">
        <v>0</v>
      </c>
      <c r="P55" s="52">
        <v>0</v>
      </c>
      <c r="Q55" s="52">
        <v>0</v>
      </c>
      <c r="R55" s="52">
        <v>0</v>
      </c>
      <c r="S55" s="52">
        <v>0</v>
      </c>
      <c r="T55" s="52"/>
      <c r="U55" s="52">
        <f>ROUND(SUM(H55:T55),5)</f>
        <v>0</v>
      </c>
      <c r="V55" s="52">
        <v>0</v>
      </c>
      <c r="W55" s="52">
        <v>0</v>
      </c>
      <c r="AB55" s="86"/>
      <c r="AC55" s="86"/>
      <c r="AD55" s="86"/>
      <c r="AE55" s="86"/>
      <c r="AF55" s="86"/>
      <c r="AG55" s="86" t="s">
        <v>113</v>
      </c>
      <c r="AH55" s="90"/>
      <c r="AI55" s="90"/>
      <c r="AJ55" s="90"/>
      <c r="AK55" s="90"/>
      <c r="AL55" s="90">
        <v>126.98</v>
      </c>
      <c r="AM55" s="90">
        <v>589.03</v>
      </c>
      <c r="AN55" s="90">
        <v>-589.03</v>
      </c>
      <c r="AO55" s="90">
        <v>0</v>
      </c>
      <c r="AP55" s="90">
        <v>0</v>
      </c>
      <c r="AQ55" s="90">
        <v>0</v>
      </c>
      <c r="AR55" s="90">
        <v>0</v>
      </c>
      <c r="AS55" s="90">
        <v>0</v>
      </c>
      <c r="AT55" s="90">
        <v>0</v>
      </c>
      <c r="AU55" s="90">
        <v>0</v>
      </c>
      <c r="AV55" s="90">
        <v>0</v>
      </c>
      <c r="AW55" s="90">
        <v>-126.98</v>
      </c>
      <c r="AX55" s="90"/>
      <c r="AY55" s="91">
        <f>ROUND(SUM(AH55:AX55),5)</f>
        <v>0</v>
      </c>
      <c r="AZ55" s="91">
        <v>0</v>
      </c>
      <c r="BA55" s="91">
        <v>0</v>
      </c>
      <c r="BB55" s="92"/>
    </row>
    <row r="56" spans="1:54" x14ac:dyDescent="0.3">
      <c r="A56" s="50"/>
      <c r="B56" s="50"/>
      <c r="C56" s="50"/>
      <c r="D56" s="50"/>
      <c r="E56" s="50"/>
      <c r="F56" s="50" t="s">
        <v>114</v>
      </c>
      <c r="G56" s="50"/>
      <c r="H56" s="51">
        <f t="shared" ref="H56:P56" si="22">ROUND(SUM(H53:H55),5)</f>
        <v>1363.28</v>
      </c>
      <c r="I56" s="51">
        <f t="shared" si="22"/>
        <v>2493.0500000000002</v>
      </c>
      <c r="J56" s="51">
        <f t="shared" si="22"/>
        <v>30.56</v>
      </c>
      <c r="K56" s="51">
        <f t="shared" si="22"/>
        <v>1950.84</v>
      </c>
      <c r="L56" s="51">
        <f t="shared" si="22"/>
        <v>1313.48</v>
      </c>
      <c r="M56" s="51">
        <f t="shared" si="22"/>
        <v>1320.95</v>
      </c>
      <c r="N56" s="51">
        <f t="shared" si="22"/>
        <v>1321.44</v>
      </c>
      <c r="O56" s="51">
        <f t="shared" si="22"/>
        <v>1329.6</v>
      </c>
      <c r="P56" s="51">
        <f t="shared" si="22"/>
        <v>1319.97</v>
      </c>
      <c r="Q56" s="51">
        <f>ROUND(SUM(Q53:Q55),5)</f>
        <v>1985.98</v>
      </c>
      <c r="R56" s="51">
        <f>ROUND(SUM(R53:R55),5)</f>
        <v>1328.89</v>
      </c>
      <c r="S56" s="51">
        <f>ROUND(SUM(S53:S55),5)</f>
        <v>1197.02</v>
      </c>
      <c r="T56" s="51"/>
      <c r="U56" s="51">
        <f>ROUND(SUM(H56:T56),5)</f>
        <v>16955.060000000001</v>
      </c>
      <c r="V56" s="51">
        <f>ROUND(SUM(V53:V55),5)</f>
        <v>21000</v>
      </c>
      <c r="W56" s="51">
        <f>ROUND(SUM(W53:W55),5)</f>
        <v>23500</v>
      </c>
      <c r="AB56" s="86"/>
      <c r="AC56" s="86"/>
      <c r="AD56" s="86"/>
      <c r="AE56" s="86"/>
      <c r="AF56" s="86" t="s">
        <v>114</v>
      </c>
      <c r="AG56" s="86"/>
      <c r="AH56" s="87"/>
      <c r="AI56" s="87"/>
      <c r="AJ56" s="87"/>
      <c r="AK56" s="87"/>
      <c r="AL56" s="87">
        <f t="shared" ref="AL56:AW56" si="23">ROUND(SUM(AL53:AL55),5)</f>
        <v>1419.28</v>
      </c>
      <c r="AM56" s="87">
        <f t="shared" si="23"/>
        <v>2353.15</v>
      </c>
      <c r="AN56" s="87">
        <f t="shared" si="23"/>
        <v>-0.01</v>
      </c>
      <c r="AO56" s="87">
        <f t="shared" si="23"/>
        <v>2195.9699999999998</v>
      </c>
      <c r="AP56" s="87">
        <f t="shared" si="23"/>
        <v>1217.4100000000001</v>
      </c>
      <c r="AQ56" s="87">
        <f t="shared" si="23"/>
        <v>1220.48</v>
      </c>
      <c r="AR56" s="87">
        <f t="shared" si="23"/>
        <v>1228.23</v>
      </c>
      <c r="AS56" s="87">
        <f t="shared" si="23"/>
        <v>1225.46</v>
      </c>
      <c r="AT56" s="87">
        <f t="shared" si="23"/>
        <v>1234.52</v>
      </c>
      <c r="AU56" s="87">
        <f t="shared" si="23"/>
        <v>1839.28</v>
      </c>
      <c r="AV56" s="87">
        <f t="shared" si="23"/>
        <v>1239.45</v>
      </c>
      <c r="AW56" s="87">
        <f t="shared" si="23"/>
        <v>1238.3599999999999</v>
      </c>
      <c r="AX56" s="87"/>
      <c r="AY56" s="88">
        <f>ROUND(SUM(AH56:AX56),5)</f>
        <v>16411.580000000002</v>
      </c>
      <c r="AZ56" s="88">
        <f>ROUND(SUM(AZ53:AZ55),5)</f>
        <v>16100</v>
      </c>
      <c r="BA56" s="88">
        <f>ROUND(SUM(BA53:BA55),5)</f>
        <v>21000</v>
      </c>
      <c r="BB56" s="89"/>
    </row>
    <row r="57" spans="1:54" x14ac:dyDescent="0.3">
      <c r="A57" s="50"/>
      <c r="B57" s="50"/>
      <c r="C57" s="50"/>
      <c r="D57" s="50"/>
      <c r="E57" s="50"/>
      <c r="F57" s="50" t="s">
        <v>115</v>
      </c>
      <c r="G57" s="50"/>
      <c r="H57" s="51"/>
      <c r="I57" s="51"/>
      <c r="J57" s="51"/>
      <c r="K57" s="51"/>
      <c r="L57" s="51"/>
      <c r="M57" s="51"/>
      <c r="N57" s="51"/>
      <c r="O57" s="51"/>
      <c r="P57" s="51"/>
      <c r="Q57" s="51"/>
      <c r="R57" s="51"/>
      <c r="S57" s="51"/>
      <c r="T57" s="51"/>
      <c r="U57" s="51"/>
      <c r="V57" s="51"/>
      <c r="W57" s="51"/>
      <c r="AB57" s="86"/>
      <c r="AC57" s="86"/>
      <c r="AD57" s="86"/>
      <c r="AE57" s="86"/>
      <c r="AF57" s="86" t="s">
        <v>115</v>
      </c>
      <c r="AG57" s="86"/>
      <c r="AH57" s="87"/>
      <c r="AI57" s="87"/>
      <c r="AJ57" s="87"/>
      <c r="AK57" s="87"/>
      <c r="AL57" s="87"/>
      <c r="AM57" s="87"/>
      <c r="AN57" s="87"/>
      <c r="AO57" s="87"/>
      <c r="AP57" s="87"/>
      <c r="AQ57" s="87"/>
      <c r="AR57" s="87"/>
      <c r="AS57" s="87"/>
      <c r="AT57" s="87"/>
      <c r="AU57" s="87"/>
      <c r="AV57" s="87"/>
      <c r="AW57" s="87"/>
      <c r="AX57" s="87"/>
      <c r="AY57" s="88"/>
      <c r="AZ57" s="88"/>
      <c r="BA57" s="88"/>
      <c r="BB57" s="89"/>
    </row>
    <row r="58" spans="1:54" ht="21.6" x14ac:dyDescent="0.3">
      <c r="A58" s="50"/>
      <c r="B58" s="50"/>
      <c r="C58" s="50"/>
      <c r="D58" s="50"/>
      <c r="E58" s="50"/>
      <c r="F58" s="50"/>
      <c r="G58" s="50" t="s">
        <v>116</v>
      </c>
      <c r="H58" s="51">
        <v>543.91</v>
      </c>
      <c r="I58" s="51">
        <v>1118.73</v>
      </c>
      <c r="J58" s="51">
        <v>1323.72</v>
      </c>
      <c r="K58" s="51">
        <v>1471.73</v>
      </c>
      <c r="L58" s="51">
        <v>1019.6</v>
      </c>
      <c r="M58" s="51">
        <v>1547.22</v>
      </c>
      <c r="N58" s="51">
        <v>2208.17</v>
      </c>
      <c r="O58" s="51">
        <v>1186.3499999999999</v>
      </c>
      <c r="P58" s="51">
        <v>1171.55</v>
      </c>
      <c r="Q58" s="51">
        <v>1756.31</v>
      </c>
      <c r="R58" s="51">
        <v>1192.5</v>
      </c>
      <c r="S58" s="51">
        <v>1929.56</v>
      </c>
      <c r="T58" s="51"/>
      <c r="U58" s="51">
        <f>ROUND(SUM(H58:T58),5)</f>
        <v>16469.349999999999</v>
      </c>
      <c r="V58" s="51">
        <v>18771</v>
      </c>
      <c r="W58" s="51">
        <v>21500</v>
      </c>
      <c r="X58" s="68" t="s">
        <v>208</v>
      </c>
      <c r="AB58" s="86"/>
      <c r="AC58" s="86"/>
      <c r="AD58" s="86"/>
      <c r="AE58" s="86"/>
      <c r="AF58" s="86"/>
      <c r="AG58" s="86" t="s">
        <v>116</v>
      </c>
      <c r="AH58" s="87"/>
      <c r="AI58" s="87"/>
      <c r="AJ58" s="87"/>
      <c r="AK58" s="87"/>
      <c r="AL58" s="87">
        <v>559.08000000000004</v>
      </c>
      <c r="AM58" s="87">
        <v>1068.06</v>
      </c>
      <c r="AN58" s="87">
        <v>1141.78</v>
      </c>
      <c r="AO58" s="87">
        <v>1828.14</v>
      </c>
      <c r="AP58" s="87">
        <v>890.47</v>
      </c>
      <c r="AQ58" s="87">
        <v>1187.93</v>
      </c>
      <c r="AR58" s="87">
        <v>1531.32</v>
      </c>
      <c r="AS58" s="87">
        <v>1084.8</v>
      </c>
      <c r="AT58" s="87">
        <v>1092.3599999999999</v>
      </c>
      <c r="AU58" s="87">
        <v>2075.37</v>
      </c>
      <c r="AV58" s="87">
        <v>1667.7</v>
      </c>
      <c r="AW58" s="87">
        <v>1411.65</v>
      </c>
      <c r="AX58" s="87"/>
      <c r="AY58" s="88">
        <f>ROUND(SUM(AH58:AX58),5)</f>
        <v>15538.66</v>
      </c>
      <c r="AZ58" s="88">
        <v>19000</v>
      </c>
      <c r="BA58" s="88">
        <f>ROUND((BA43+BA45+BA46+BA93)*0.062,0)</f>
        <v>18771</v>
      </c>
      <c r="BB58" s="89" t="s">
        <v>208</v>
      </c>
    </row>
    <row r="59" spans="1:54" ht="22.2" thickBot="1" x14ac:dyDescent="0.35">
      <c r="A59" s="50"/>
      <c r="B59" s="50"/>
      <c r="C59" s="50"/>
      <c r="D59" s="50"/>
      <c r="E59" s="50"/>
      <c r="F59" s="50"/>
      <c r="G59" s="50" t="s">
        <v>117</v>
      </c>
      <c r="H59" s="52">
        <v>127.2</v>
      </c>
      <c r="I59" s="52">
        <v>261.66000000000003</v>
      </c>
      <c r="J59" s="52">
        <v>309.60000000000002</v>
      </c>
      <c r="K59" s="52">
        <v>344.23</v>
      </c>
      <c r="L59" s="52">
        <v>238.47</v>
      </c>
      <c r="M59" s="52">
        <v>361.87</v>
      </c>
      <c r="N59" s="52">
        <v>516.42999999999995</v>
      </c>
      <c r="O59" s="52">
        <v>277.47000000000003</v>
      </c>
      <c r="P59" s="52">
        <v>274.01</v>
      </c>
      <c r="Q59" s="52">
        <v>410.79</v>
      </c>
      <c r="R59" s="52">
        <v>278.92</v>
      </c>
      <c r="S59" s="52">
        <v>451.33</v>
      </c>
      <c r="T59" s="52"/>
      <c r="U59" s="52">
        <f>ROUND(SUM(H59:T59),5)</f>
        <v>3851.98</v>
      </c>
      <c r="V59" s="52">
        <v>4390</v>
      </c>
      <c r="W59" s="52">
        <v>5000</v>
      </c>
      <c r="X59" s="68" t="s">
        <v>208</v>
      </c>
      <c r="AB59" s="86"/>
      <c r="AC59" s="86"/>
      <c r="AD59" s="86"/>
      <c r="AE59" s="86"/>
      <c r="AF59" s="86"/>
      <c r="AG59" s="86" t="s">
        <v>117</v>
      </c>
      <c r="AH59" s="90"/>
      <c r="AI59" s="90"/>
      <c r="AJ59" s="90"/>
      <c r="AK59" s="90"/>
      <c r="AL59" s="90">
        <v>130.76</v>
      </c>
      <c r="AM59" s="90">
        <v>249.81</v>
      </c>
      <c r="AN59" s="90">
        <v>267.06</v>
      </c>
      <c r="AO59" s="90">
        <v>427.6</v>
      </c>
      <c r="AP59" s="90">
        <v>208.26</v>
      </c>
      <c r="AQ59" s="90">
        <v>277.83999999999997</v>
      </c>
      <c r="AR59" s="90">
        <v>358.11</v>
      </c>
      <c r="AS59" s="90">
        <v>253.72</v>
      </c>
      <c r="AT59" s="90">
        <v>255.51</v>
      </c>
      <c r="AU59" s="90">
        <v>485.42</v>
      </c>
      <c r="AV59" s="90">
        <v>390.03</v>
      </c>
      <c r="AW59" s="90">
        <v>330.2</v>
      </c>
      <c r="AX59" s="90"/>
      <c r="AY59" s="91">
        <f>ROUND(SUM(AH59:AX59),5)</f>
        <v>3634.32</v>
      </c>
      <c r="AZ59" s="91">
        <v>4000</v>
      </c>
      <c r="BA59" s="91">
        <f>ROUND((BA43+BA45+BA46+BA93)*0.0145,0)</f>
        <v>4390</v>
      </c>
      <c r="BB59" s="92" t="s">
        <v>208</v>
      </c>
    </row>
    <row r="60" spans="1:54" x14ac:dyDescent="0.3">
      <c r="A60" s="50"/>
      <c r="B60" s="50"/>
      <c r="C60" s="50"/>
      <c r="D60" s="50"/>
      <c r="E60" s="50"/>
      <c r="F60" s="50" t="s">
        <v>118</v>
      </c>
      <c r="G60" s="50"/>
      <c r="H60" s="51">
        <f t="shared" ref="H60:P60" si="24">ROUND(SUM(H57:H59),5)</f>
        <v>671.11</v>
      </c>
      <c r="I60" s="51">
        <f t="shared" si="24"/>
        <v>1380.39</v>
      </c>
      <c r="J60" s="51">
        <f t="shared" si="24"/>
        <v>1633.32</v>
      </c>
      <c r="K60" s="51">
        <f t="shared" si="24"/>
        <v>1815.96</v>
      </c>
      <c r="L60" s="51">
        <f t="shared" si="24"/>
        <v>1258.07</v>
      </c>
      <c r="M60" s="51">
        <f t="shared" si="24"/>
        <v>1909.09</v>
      </c>
      <c r="N60" s="51">
        <f t="shared" si="24"/>
        <v>2724.6</v>
      </c>
      <c r="O60" s="51">
        <f t="shared" si="24"/>
        <v>1463.82</v>
      </c>
      <c r="P60" s="51">
        <f t="shared" si="24"/>
        <v>1445.56</v>
      </c>
      <c r="Q60" s="51">
        <f>ROUND(SUM(Q57:Q59),5)</f>
        <v>2167.1</v>
      </c>
      <c r="R60" s="51">
        <f>ROUND(SUM(R57:R59),5)</f>
        <v>1471.42</v>
      </c>
      <c r="S60" s="51">
        <f>ROUND(SUM(S57:S59),5)</f>
        <v>2380.89</v>
      </c>
      <c r="T60" s="51"/>
      <c r="U60" s="51">
        <f>ROUND(SUM(H60:T60),5)</f>
        <v>20321.330000000002</v>
      </c>
      <c r="V60" s="51">
        <f>ROUND(SUM(V57:V59),5)</f>
        <v>23161</v>
      </c>
      <c r="W60" s="51">
        <f>ROUND(SUM(W57:W59),5)</f>
        <v>26500</v>
      </c>
      <c r="AB60" s="86"/>
      <c r="AC60" s="86"/>
      <c r="AD60" s="86"/>
      <c r="AE60" s="86"/>
      <c r="AF60" s="86" t="s">
        <v>118</v>
      </c>
      <c r="AG60" s="86"/>
      <c r="AH60" s="87"/>
      <c r="AI60" s="87"/>
      <c r="AJ60" s="87"/>
      <c r="AK60" s="87"/>
      <c r="AL60" s="87">
        <f t="shared" ref="AL60:AW60" si="25">ROUND(SUM(AL57:AL59),5)</f>
        <v>689.84</v>
      </c>
      <c r="AM60" s="87">
        <f t="shared" si="25"/>
        <v>1317.87</v>
      </c>
      <c r="AN60" s="87">
        <f t="shared" si="25"/>
        <v>1408.84</v>
      </c>
      <c r="AO60" s="87">
        <f t="shared" si="25"/>
        <v>2255.7399999999998</v>
      </c>
      <c r="AP60" s="87">
        <f t="shared" si="25"/>
        <v>1098.73</v>
      </c>
      <c r="AQ60" s="87">
        <f t="shared" si="25"/>
        <v>1465.77</v>
      </c>
      <c r="AR60" s="87">
        <f t="shared" si="25"/>
        <v>1889.43</v>
      </c>
      <c r="AS60" s="87">
        <f t="shared" si="25"/>
        <v>1338.52</v>
      </c>
      <c r="AT60" s="87">
        <f t="shared" si="25"/>
        <v>1347.87</v>
      </c>
      <c r="AU60" s="87">
        <f t="shared" si="25"/>
        <v>2560.79</v>
      </c>
      <c r="AV60" s="87">
        <f t="shared" si="25"/>
        <v>2057.73</v>
      </c>
      <c r="AW60" s="87">
        <f t="shared" si="25"/>
        <v>1741.85</v>
      </c>
      <c r="AX60" s="87"/>
      <c r="AY60" s="88">
        <f>ROUND(SUM(AH60:AX60),5)</f>
        <v>19172.98</v>
      </c>
      <c r="AZ60" s="88">
        <f>ROUND(SUM(AZ57:AZ59),5)</f>
        <v>23000</v>
      </c>
      <c r="BA60" s="88">
        <f>ROUND(SUM(BA57:BA59),5)</f>
        <v>23161</v>
      </c>
      <c r="BB60" s="89"/>
    </row>
    <row r="61" spans="1:54" x14ac:dyDescent="0.3">
      <c r="A61" s="50"/>
      <c r="B61" s="50"/>
      <c r="C61" s="50"/>
      <c r="D61" s="50"/>
      <c r="E61" s="50"/>
      <c r="F61" s="50" t="s">
        <v>119</v>
      </c>
      <c r="G61" s="50"/>
      <c r="H61" s="51"/>
      <c r="I61" s="51"/>
      <c r="J61" s="51"/>
      <c r="K61" s="51"/>
      <c r="L61" s="51"/>
      <c r="M61" s="51"/>
      <c r="N61" s="51"/>
      <c r="O61" s="51"/>
      <c r="P61" s="51"/>
      <c r="Q61" s="51"/>
      <c r="R61" s="51"/>
      <c r="S61" s="51"/>
      <c r="T61" s="51"/>
      <c r="U61" s="51"/>
      <c r="V61" s="51"/>
      <c r="W61" s="51"/>
      <c r="AB61" s="86"/>
      <c r="AC61" s="86"/>
      <c r="AD61" s="86"/>
      <c r="AE61" s="86"/>
      <c r="AF61" s="86" t="s">
        <v>119</v>
      </c>
      <c r="AG61" s="86"/>
      <c r="AH61" s="87"/>
      <c r="AI61" s="87"/>
      <c r="AJ61" s="87"/>
      <c r="AK61" s="87"/>
      <c r="AL61" s="87"/>
      <c r="AM61" s="87"/>
      <c r="AN61" s="87"/>
      <c r="AO61" s="87"/>
      <c r="AP61" s="87"/>
      <c r="AQ61" s="87"/>
      <c r="AR61" s="87"/>
      <c r="AS61" s="87"/>
      <c r="AT61" s="87"/>
      <c r="AU61" s="87"/>
      <c r="AV61" s="87"/>
      <c r="AW61" s="87"/>
      <c r="AX61" s="87"/>
      <c r="AY61" s="88"/>
      <c r="AZ61" s="88"/>
      <c r="BA61" s="88"/>
      <c r="BB61" s="89"/>
    </row>
    <row r="62" spans="1:54" x14ac:dyDescent="0.3">
      <c r="A62" s="50"/>
      <c r="B62" s="50"/>
      <c r="C62" s="50"/>
      <c r="D62" s="50"/>
      <c r="E62" s="50"/>
      <c r="F62" s="50"/>
      <c r="G62" s="50" t="s">
        <v>120</v>
      </c>
      <c r="H62" s="51">
        <v>7851.47</v>
      </c>
      <c r="I62" s="51">
        <v>3925.93</v>
      </c>
      <c r="J62" s="51">
        <v>0</v>
      </c>
      <c r="K62" s="51">
        <v>3925.93</v>
      </c>
      <c r="L62" s="51">
        <v>3254.42</v>
      </c>
      <c r="M62" s="51">
        <v>3254.42</v>
      </c>
      <c r="N62" s="51">
        <v>3379.51</v>
      </c>
      <c r="O62" s="51">
        <v>3379.51</v>
      </c>
      <c r="P62" s="51">
        <v>3379.51</v>
      </c>
      <c r="Q62" s="51">
        <v>3379.51</v>
      </c>
      <c r="R62" s="51">
        <v>3379.51</v>
      </c>
      <c r="S62" s="51">
        <v>3379.51</v>
      </c>
      <c r="T62" s="51"/>
      <c r="U62" s="51">
        <f>ROUND(SUM(H62:T62),5)</f>
        <v>42489.23</v>
      </c>
      <c r="V62" s="67">
        <v>60000</v>
      </c>
      <c r="W62" s="67">
        <v>52000</v>
      </c>
      <c r="X62" s="68" t="s">
        <v>310</v>
      </c>
      <c r="AB62" s="86"/>
      <c r="AC62" s="86"/>
      <c r="AD62" s="86"/>
      <c r="AE62" s="86"/>
      <c r="AF62" s="86"/>
      <c r="AG62" s="86" t="s">
        <v>120</v>
      </c>
      <c r="AH62" s="87"/>
      <c r="AI62" s="87"/>
      <c r="AJ62" s="87"/>
      <c r="AK62" s="87"/>
      <c r="AL62" s="87">
        <v>3878.65</v>
      </c>
      <c r="AM62" s="87">
        <v>3212.66</v>
      </c>
      <c r="AN62" s="87">
        <v>0</v>
      </c>
      <c r="AO62" s="87">
        <v>3212.66</v>
      </c>
      <c r="AP62" s="87">
        <v>3212.66</v>
      </c>
      <c r="AQ62" s="87">
        <v>3212.66</v>
      </c>
      <c r="AR62" s="87">
        <v>3254.09</v>
      </c>
      <c r="AS62" s="87">
        <v>3254.09</v>
      </c>
      <c r="AT62" s="87">
        <v>4596.99</v>
      </c>
      <c r="AU62" s="87">
        <v>3925.54</v>
      </c>
      <c r="AV62" s="87">
        <v>5212.17</v>
      </c>
      <c r="AW62" s="87">
        <v>8800.1</v>
      </c>
      <c r="AX62" s="87"/>
      <c r="AY62" s="88">
        <f>ROUND(SUM(AH62:AX62),5)</f>
        <v>45772.27</v>
      </c>
      <c r="AZ62" s="88">
        <v>60000</v>
      </c>
      <c r="BA62" s="88">
        <v>60000</v>
      </c>
      <c r="BB62" s="89" t="s">
        <v>207</v>
      </c>
    </row>
    <row r="63" spans="1:54" x14ac:dyDescent="0.3">
      <c r="A63" s="50"/>
      <c r="B63" s="50"/>
      <c r="C63" s="50"/>
      <c r="D63" s="50"/>
      <c r="E63" s="50"/>
      <c r="F63" s="50"/>
      <c r="G63" s="50" t="s">
        <v>121</v>
      </c>
      <c r="H63" s="51">
        <v>147.69</v>
      </c>
      <c r="I63" s="51">
        <v>0</v>
      </c>
      <c r="J63" s="51">
        <v>0</v>
      </c>
      <c r="K63" s="51">
        <v>49.23</v>
      </c>
      <c r="L63" s="51">
        <v>71.760000000000005</v>
      </c>
      <c r="M63" s="51">
        <v>80.66</v>
      </c>
      <c r="N63" s="51">
        <v>40.33</v>
      </c>
      <c r="O63" s="51">
        <v>0</v>
      </c>
      <c r="P63" s="51">
        <v>80.66</v>
      </c>
      <c r="Q63" s="51">
        <v>0</v>
      </c>
      <c r="R63" s="51">
        <v>49.23</v>
      </c>
      <c r="S63" s="51">
        <v>65.28</v>
      </c>
      <c r="T63" s="51"/>
      <c r="U63" s="51">
        <f>ROUND(SUM(H63:T63),5)</f>
        <v>584.84</v>
      </c>
      <c r="V63" s="67">
        <v>1000</v>
      </c>
      <c r="W63" s="67">
        <v>800</v>
      </c>
      <c r="X63" s="68" t="s">
        <v>207</v>
      </c>
      <c r="AB63" s="86"/>
      <c r="AC63" s="86"/>
      <c r="AD63" s="86"/>
      <c r="AE63" s="86"/>
      <c r="AF63" s="86"/>
      <c r="AG63" s="86" t="s">
        <v>121</v>
      </c>
      <c r="AH63" s="87"/>
      <c r="AI63" s="87"/>
      <c r="AJ63" s="87"/>
      <c r="AK63" s="87"/>
      <c r="AL63" s="87">
        <v>46.72</v>
      </c>
      <c r="AM63" s="87">
        <v>40.33</v>
      </c>
      <c r="AN63" s="87">
        <v>40.33</v>
      </c>
      <c r="AO63" s="87">
        <v>40.33</v>
      </c>
      <c r="AP63" s="87">
        <v>40.33</v>
      </c>
      <c r="AQ63" s="87">
        <v>40.33</v>
      </c>
      <c r="AR63" s="87">
        <v>49.23</v>
      </c>
      <c r="AS63" s="87">
        <v>0</v>
      </c>
      <c r="AT63" s="87">
        <v>98.46</v>
      </c>
      <c r="AU63" s="87">
        <v>49.23</v>
      </c>
      <c r="AV63" s="87">
        <v>65.28</v>
      </c>
      <c r="AW63" s="87">
        <v>112</v>
      </c>
      <c r="AX63" s="87"/>
      <c r="AY63" s="88">
        <f>ROUND(SUM(AH63:AX63),5)</f>
        <v>622.57000000000005</v>
      </c>
      <c r="AZ63" s="88">
        <v>850</v>
      </c>
      <c r="BA63" s="88">
        <v>1000</v>
      </c>
      <c r="BB63" s="89" t="s">
        <v>207</v>
      </c>
    </row>
    <row r="64" spans="1:54" ht="15" thickBot="1" x14ac:dyDescent="0.35">
      <c r="A64" s="50"/>
      <c r="B64" s="50"/>
      <c r="C64" s="50"/>
      <c r="D64" s="50"/>
      <c r="E64" s="50"/>
      <c r="F64" s="50"/>
      <c r="G64" s="50" t="s">
        <v>122</v>
      </c>
      <c r="H64" s="52">
        <v>664.72</v>
      </c>
      <c r="I64" s="52">
        <v>332.36</v>
      </c>
      <c r="J64" s="52">
        <v>272.48</v>
      </c>
      <c r="K64" s="52">
        <v>272.48</v>
      </c>
      <c r="L64" s="52">
        <v>272.48</v>
      </c>
      <c r="M64" s="52">
        <v>0</v>
      </c>
      <c r="N64" s="52">
        <v>544.96</v>
      </c>
      <c r="O64" s="52">
        <v>0</v>
      </c>
      <c r="P64" s="52">
        <v>558.6</v>
      </c>
      <c r="Q64" s="52">
        <v>286.12</v>
      </c>
      <c r="R64" s="52">
        <v>286.12</v>
      </c>
      <c r="S64" s="52">
        <v>286.12</v>
      </c>
      <c r="T64" s="52"/>
      <c r="U64" s="52">
        <f>ROUND(SUM(H64:T64),5)</f>
        <v>3776.44</v>
      </c>
      <c r="V64" s="69">
        <v>3800</v>
      </c>
      <c r="W64" s="69">
        <v>3200</v>
      </c>
      <c r="X64" s="68" t="s">
        <v>207</v>
      </c>
      <c r="AB64" s="86"/>
      <c r="AC64" s="86"/>
      <c r="AD64" s="86"/>
      <c r="AE64" s="86"/>
      <c r="AF64" s="86"/>
      <c r="AG64" s="86" t="s">
        <v>122</v>
      </c>
      <c r="AH64" s="90"/>
      <c r="AI64" s="90"/>
      <c r="AJ64" s="90"/>
      <c r="AK64" s="90"/>
      <c r="AL64" s="90">
        <v>332.36</v>
      </c>
      <c r="AM64" s="90">
        <v>272.48</v>
      </c>
      <c r="AN64" s="90">
        <v>272.48</v>
      </c>
      <c r="AO64" s="90">
        <v>272.48</v>
      </c>
      <c r="AP64" s="90">
        <v>272.48</v>
      </c>
      <c r="AQ64" s="90">
        <v>272.48</v>
      </c>
      <c r="AR64" s="90">
        <v>332.36</v>
      </c>
      <c r="AS64" s="90">
        <v>0</v>
      </c>
      <c r="AT64" s="90">
        <v>664.72</v>
      </c>
      <c r="AU64" s="90">
        <v>332.36</v>
      </c>
      <c r="AV64" s="90">
        <v>447.04</v>
      </c>
      <c r="AW64" s="90">
        <v>429.76</v>
      </c>
      <c r="AX64" s="90"/>
      <c r="AY64" s="91">
        <f>ROUND(SUM(AH64:AX64),5)</f>
        <v>3901</v>
      </c>
      <c r="AZ64" s="91">
        <v>4100</v>
      </c>
      <c r="BA64" s="91">
        <v>3800</v>
      </c>
      <c r="BB64" s="92" t="s">
        <v>207</v>
      </c>
    </row>
    <row r="65" spans="1:54" x14ac:dyDescent="0.3">
      <c r="A65" s="50"/>
      <c r="B65" s="50"/>
      <c r="C65" s="50"/>
      <c r="D65" s="50"/>
      <c r="E65" s="50"/>
      <c r="F65" s="50" t="s">
        <v>123</v>
      </c>
      <c r="G65" s="50"/>
      <c r="H65" s="51">
        <f t="shared" ref="H65:P65" si="26">ROUND(SUM(H61:H64),5)</f>
        <v>8663.8799999999992</v>
      </c>
      <c r="I65" s="51">
        <f t="shared" si="26"/>
        <v>4258.29</v>
      </c>
      <c r="J65" s="51">
        <f t="shared" si="26"/>
        <v>272.48</v>
      </c>
      <c r="K65" s="51">
        <f t="shared" si="26"/>
        <v>4247.6400000000003</v>
      </c>
      <c r="L65" s="51">
        <f t="shared" si="26"/>
        <v>3598.66</v>
      </c>
      <c r="M65" s="51">
        <f t="shared" si="26"/>
        <v>3335.08</v>
      </c>
      <c r="N65" s="51">
        <f t="shared" si="26"/>
        <v>3964.8</v>
      </c>
      <c r="O65" s="51">
        <f t="shared" si="26"/>
        <v>3379.51</v>
      </c>
      <c r="P65" s="51">
        <f t="shared" si="26"/>
        <v>4018.77</v>
      </c>
      <c r="Q65" s="51">
        <f>ROUND(SUM(Q61:Q64),5)</f>
        <v>3665.63</v>
      </c>
      <c r="R65" s="51">
        <f>ROUND(SUM(R61:R64),5)</f>
        <v>3714.86</v>
      </c>
      <c r="S65" s="51">
        <f>ROUND(SUM(S61:S64),5)</f>
        <v>3730.91</v>
      </c>
      <c r="T65" s="51"/>
      <c r="U65" s="51">
        <f>ROUND(SUM(H65:T65),5)</f>
        <v>46850.51</v>
      </c>
      <c r="V65" s="51">
        <f>ROUND(SUM(V61:V64),5)</f>
        <v>64800</v>
      </c>
      <c r="W65" s="51">
        <f>ROUND(SUM(W61:W64),5)</f>
        <v>56000</v>
      </c>
      <c r="AB65" s="86"/>
      <c r="AC65" s="86"/>
      <c r="AD65" s="86"/>
      <c r="AE65" s="86"/>
      <c r="AF65" s="86" t="s">
        <v>123</v>
      </c>
      <c r="AG65" s="86"/>
      <c r="AH65" s="87"/>
      <c r="AI65" s="87"/>
      <c r="AJ65" s="87"/>
      <c r="AK65" s="87"/>
      <c r="AL65" s="87">
        <f t="shared" ref="AL65:AW65" si="27">ROUND(SUM(AL61:AL64),5)</f>
        <v>4257.7299999999996</v>
      </c>
      <c r="AM65" s="87">
        <f t="shared" si="27"/>
        <v>3525.47</v>
      </c>
      <c r="AN65" s="87">
        <f t="shared" si="27"/>
        <v>312.81</v>
      </c>
      <c r="AO65" s="87">
        <f t="shared" si="27"/>
        <v>3525.47</v>
      </c>
      <c r="AP65" s="87">
        <f t="shared" si="27"/>
        <v>3525.47</v>
      </c>
      <c r="AQ65" s="87">
        <f t="shared" si="27"/>
        <v>3525.47</v>
      </c>
      <c r="AR65" s="87">
        <f t="shared" si="27"/>
        <v>3635.68</v>
      </c>
      <c r="AS65" s="87">
        <f t="shared" si="27"/>
        <v>3254.09</v>
      </c>
      <c r="AT65" s="87">
        <f t="shared" si="27"/>
        <v>5360.17</v>
      </c>
      <c r="AU65" s="87">
        <f t="shared" si="27"/>
        <v>4307.13</v>
      </c>
      <c r="AV65" s="87">
        <f t="shared" si="27"/>
        <v>5724.49</v>
      </c>
      <c r="AW65" s="87">
        <f t="shared" si="27"/>
        <v>9341.86</v>
      </c>
      <c r="AX65" s="87"/>
      <c r="AY65" s="88">
        <f>ROUND(SUM(AH65:AX65),5)</f>
        <v>50295.839999999997</v>
      </c>
      <c r="AZ65" s="88">
        <f>ROUND(SUM(AZ61:AZ64),5)</f>
        <v>64950</v>
      </c>
      <c r="BA65" s="88">
        <f>ROUND(SUM(BA61:BA64),5)</f>
        <v>64800</v>
      </c>
      <c r="BB65" s="89"/>
    </row>
    <row r="66" spans="1:54" x14ac:dyDescent="0.3">
      <c r="A66" s="50"/>
      <c r="B66" s="50"/>
      <c r="C66" s="50"/>
      <c r="D66" s="50"/>
      <c r="E66" s="50"/>
      <c r="F66" s="50" t="s">
        <v>124</v>
      </c>
      <c r="G66" s="50"/>
      <c r="H66" s="51"/>
      <c r="I66" s="51"/>
      <c r="J66" s="51"/>
      <c r="K66" s="51"/>
      <c r="L66" s="51"/>
      <c r="M66" s="51"/>
      <c r="N66" s="51"/>
      <c r="O66" s="51"/>
      <c r="P66" s="51"/>
      <c r="Q66" s="51"/>
      <c r="R66" s="51"/>
      <c r="S66" s="51"/>
      <c r="T66" s="51"/>
      <c r="U66" s="51"/>
      <c r="V66" s="51"/>
      <c r="W66" s="51"/>
      <c r="AB66" s="86"/>
      <c r="AC66" s="86"/>
      <c r="AD66" s="86"/>
      <c r="AE66" s="86"/>
      <c r="AF66" s="86" t="s">
        <v>124</v>
      </c>
      <c r="AG66" s="86"/>
      <c r="AH66" s="87"/>
      <c r="AI66" s="87"/>
      <c r="AJ66" s="87"/>
      <c r="AK66" s="87"/>
      <c r="AL66" s="87"/>
      <c r="AM66" s="87"/>
      <c r="AN66" s="87"/>
      <c r="AO66" s="87"/>
      <c r="AP66" s="87"/>
      <c r="AQ66" s="87"/>
      <c r="AR66" s="87"/>
      <c r="AS66" s="87"/>
      <c r="AT66" s="87"/>
      <c r="AU66" s="87"/>
      <c r="AV66" s="87"/>
      <c r="AW66" s="87"/>
      <c r="AX66" s="87"/>
      <c r="AY66" s="88"/>
      <c r="AZ66" s="88"/>
      <c r="BA66" s="88"/>
      <c r="BB66" s="89"/>
    </row>
    <row r="67" spans="1:54" ht="31.8" x14ac:dyDescent="0.3">
      <c r="A67" s="50"/>
      <c r="B67" s="50"/>
      <c r="C67" s="50"/>
      <c r="D67" s="50"/>
      <c r="E67" s="50"/>
      <c r="F67" s="50"/>
      <c r="G67" s="50" t="s">
        <v>125</v>
      </c>
      <c r="H67" s="51">
        <v>920.16</v>
      </c>
      <c r="I67" s="51">
        <v>2249.3000000000002</v>
      </c>
      <c r="J67" s="51">
        <v>920.16</v>
      </c>
      <c r="K67" s="51">
        <v>920.16</v>
      </c>
      <c r="L67" s="51">
        <v>920.16</v>
      </c>
      <c r="M67" s="51">
        <v>920.16</v>
      </c>
      <c r="N67" s="51">
        <v>920.16</v>
      </c>
      <c r="O67" s="51">
        <v>920.16</v>
      </c>
      <c r="P67" s="51">
        <v>920.16</v>
      </c>
      <c r="Q67" s="51">
        <v>920.16</v>
      </c>
      <c r="R67" s="51">
        <v>920.16</v>
      </c>
      <c r="S67" s="51">
        <v>1042.3499999999999</v>
      </c>
      <c r="T67" s="51"/>
      <c r="U67" s="51">
        <f>ROUND(SUM(H67:T67),5)</f>
        <v>12493.25</v>
      </c>
      <c r="V67" s="67">
        <v>22000</v>
      </c>
      <c r="W67" s="67">
        <v>22000</v>
      </c>
      <c r="X67" s="68" t="s">
        <v>256</v>
      </c>
      <c r="AB67" s="86"/>
      <c r="AC67" s="86"/>
      <c r="AD67" s="86"/>
      <c r="AE67" s="86"/>
      <c r="AF67" s="86"/>
      <c r="AG67" s="86" t="s">
        <v>125</v>
      </c>
      <c r="AH67" s="87"/>
      <c r="AI67" s="87"/>
      <c r="AJ67" s="87"/>
      <c r="AK67" s="87"/>
      <c r="AL67" s="87">
        <v>1042.3699999999999</v>
      </c>
      <c r="AM67" s="87">
        <v>1042.3699999999999</v>
      </c>
      <c r="AN67" s="87">
        <v>3266.71</v>
      </c>
      <c r="AO67" s="87">
        <v>1042.3699999999999</v>
      </c>
      <c r="AP67" s="87">
        <v>1042.3699999999999</v>
      </c>
      <c r="AQ67" s="87">
        <v>1042.3699999999999</v>
      </c>
      <c r="AR67" s="87">
        <v>1042.3699999999999</v>
      </c>
      <c r="AS67" s="87">
        <v>1042.3699999999999</v>
      </c>
      <c r="AT67" s="87">
        <v>1042.3699999999999</v>
      </c>
      <c r="AU67" s="87">
        <v>1042.3699999999999</v>
      </c>
      <c r="AV67" s="87">
        <v>1590.57</v>
      </c>
      <c r="AW67" s="87">
        <v>1590.51</v>
      </c>
      <c r="AX67" s="87"/>
      <c r="AY67" s="88">
        <f>ROUND(SUM(AH67:AX67),5)</f>
        <v>15829.12</v>
      </c>
      <c r="AZ67" s="88">
        <v>17000</v>
      </c>
      <c r="BA67" s="88">
        <v>22000</v>
      </c>
      <c r="BB67" s="89" t="s">
        <v>256</v>
      </c>
    </row>
    <row r="68" spans="1:54" x14ac:dyDescent="0.3">
      <c r="A68" s="50"/>
      <c r="B68" s="50"/>
      <c r="C68" s="50"/>
      <c r="D68" s="50"/>
      <c r="E68" s="50"/>
      <c r="F68" s="50"/>
      <c r="G68" s="50" t="s">
        <v>199</v>
      </c>
      <c r="H68" s="51">
        <v>0</v>
      </c>
      <c r="I68" s="51">
        <v>0</v>
      </c>
      <c r="J68" s="51">
        <v>0</v>
      </c>
      <c r="K68" s="51">
        <v>0</v>
      </c>
      <c r="L68" s="51">
        <v>0</v>
      </c>
      <c r="M68" s="51">
        <v>0</v>
      </c>
      <c r="N68" s="51">
        <v>0</v>
      </c>
      <c r="O68" s="51">
        <v>0</v>
      </c>
      <c r="P68" s="51">
        <v>0</v>
      </c>
      <c r="Q68" s="51">
        <v>0</v>
      </c>
      <c r="R68" s="51">
        <v>0</v>
      </c>
      <c r="S68" s="51">
        <v>0</v>
      </c>
      <c r="T68" s="51">
        <v>0</v>
      </c>
      <c r="U68" s="51">
        <v>0</v>
      </c>
      <c r="V68" s="67">
        <v>1600</v>
      </c>
      <c r="W68" s="67">
        <v>1500</v>
      </c>
      <c r="AB68" s="86"/>
      <c r="AC68" s="86"/>
      <c r="AD68" s="86"/>
      <c r="AE68" s="86"/>
      <c r="AF68" s="86"/>
      <c r="AG68" s="86" t="s">
        <v>199</v>
      </c>
      <c r="AH68" s="87"/>
      <c r="AI68" s="87"/>
      <c r="AJ68" s="87"/>
      <c r="AK68" s="87"/>
      <c r="AL68" s="87">
        <v>0</v>
      </c>
      <c r="AM68" s="87">
        <v>0</v>
      </c>
      <c r="AN68" s="87">
        <v>0</v>
      </c>
      <c r="AO68" s="87">
        <v>0</v>
      </c>
      <c r="AP68" s="87">
        <v>0</v>
      </c>
      <c r="AQ68" s="87">
        <v>0</v>
      </c>
      <c r="AR68" s="87">
        <v>0</v>
      </c>
      <c r="AS68" s="87">
        <v>0</v>
      </c>
      <c r="AT68" s="87">
        <v>0</v>
      </c>
      <c r="AU68" s="87">
        <v>0</v>
      </c>
      <c r="AV68" s="87">
        <v>0</v>
      </c>
      <c r="AW68" s="87">
        <v>0</v>
      </c>
      <c r="AX68" s="87"/>
      <c r="AY68" s="88">
        <f>ROUND(SUM(AH68:AX68),5)</f>
        <v>0</v>
      </c>
      <c r="AZ68" s="88">
        <v>1600</v>
      </c>
      <c r="BA68" s="88">
        <v>1600</v>
      </c>
      <c r="BB68" s="89"/>
    </row>
    <row r="69" spans="1:54" ht="15" thickBot="1" x14ac:dyDescent="0.35">
      <c r="A69" s="50"/>
      <c r="B69" s="50"/>
      <c r="C69" s="50"/>
      <c r="D69" s="50"/>
      <c r="E69" s="50"/>
      <c r="F69" s="50"/>
      <c r="G69" s="50" t="s">
        <v>126</v>
      </c>
      <c r="H69" s="51">
        <v>0.75</v>
      </c>
      <c r="I69" s="51">
        <v>22.5</v>
      </c>
      <c r="J69" s="51">
        <v>22.5</v>
      </c>
      <c r="K69" s="51">
        <v>22.5</v>
      </c>
      <c r="L69" s="51">
        <v>25.85</v>
      </c>
      <c r="M69" s="51">
        <v>94.84</v>
      </c>
      <c r="N69" s="51">
        <v>477</v>
      </c>
      <c r="O69" s="51">
        <v>266.7</v>
      </c>
      <c r="P69" s="51">
        <v>140.5</v>
      </c>
      <c r="Q69" s="51">
        <v>23.32</v>
      </c>
      <c r="R69" s="51">
        <v>22.5</v>
      </c>
      <c r="S69" s="51">
        <v>44.25</v>
      </c>
      <c r="T69" s="51"/>
      <c r="U69" s="51">
        <f>ROUND(SUM(H69:T69),5)</f>
        <v>1163.21</v>
      </c>
      <c r="V69" s="67">
        <v>2000</v>
      </c>
      <c r="W69" s="67">
        <v>2000</v>
      </c>
      <c r="AB69" s="86"/>
      <c r="AC69" s="86"/>
      <c r="AD69" s="86"/>
      <c r="AE69" s="86"/>
      <c r="AF69" s="86"/>
      <c r="AG69" s="86" t="s">
        <v>126</v>
      </c>
      <c r="AH69" s="87"/>
      <c r="AI69" s="87"/>
      <c r="AJ69" s="87"/>
      <c r="AK69" s="87"/>
      <c r="AL69" s="87">
        <v>3.07</v>
      </c>
      <c r="AM69" s="87">
        <v>24</v>
      </c>
      <c r="AN69" s="87">
        <v>24</v>
      </c>
      <c r="AO69" s="87">
        <v>48</v>
      </c>
      <c r="AP69" s="87">
        <v>0</v>
      </c>
      <c r="AQ69" s="87">
        <v>24</v>
      </c>
      <c r="AR69" s="87">
        <v>426.54</v>
      </c>
      <c r="AS69" s="87">
        <v>254.93</v>
      </c>
      <c r="AT69" s="87">
        <v>153.99</v>
      </c>
      <c r="AU69" s="87">
        <v>94.54</v>
      </c>
      <c r="AV69" s="87">
        <v>0</v>
      </c>
      <c r="AW69" s="87">
        <v>44.93</v>
      </c>
      <c r="AX69" s="87"/>
      <c r="AY69" s="88">
        <f>ROUND(SUM(AH69:AX69),5)</f>
        <v>1098</v>
      </c>
      <c r="AZ69" s="88">
        <v>2000</v>
      </c>
      <c r="BA69" s="88">
        <v>2000</v>
      </c>
      <c r="BB69" s="89"/>
    </row>
    <row r="70" spans="1:54" ht="15" thickBot="1" x14ac:dyDescent="0.35">
      <c r="A70" s="50"/>
      <c r="B70" s="50"/>
      <c r="C70" s="50"/>
      <c r="D70" s="50"/>
      <c r="E70" s="50"/>
      <c r="F70" s="50" t="s">
        <v>127</v>
      </c>
      <c r="G70" s="50"/>
      <c r="H70" s="53">
        <f t="shared" ref="H70:S70" si="28">ROUND(SUM(H66:H69),5)</f>
        <v>920.91</v>
      </c>
      <c r="I70" s="53">
        <f t="shared" si="28"/>
        <v>2271.8000000000002</v>
      </c>
      <c r="J70" s="53">
        <f t="shared" si="28"/>
        <v>942.66</v>
      </c>
      <c r="K70" s="53">
        <f t="shared" si="28"/>
        <v>942.66</v>
      </c>
      <c r="L70" s="53">
        <f t="shared" si="28"/>
        <v>946.01</v>
      </c>
      <c r="M70" s="53">
        <f t="shared" si="28"/>
        <v>1015</v>
      </c>
      <c r="N70" s="53">
        <f t="shared" si="28"/>
        <v>1397.16</v>
      </c>
      <c r="O70" s="53">
        <f t="shared" si="28"/>
        <v>1186.8599999999999</v>
      </c>
      <c r="P70" s="53">
        <f t="shared" si="28"/>
        <v>1060.6600000000001</v>
      </c>
      <c r="Q70" s="53">
        <f t="shared" si="28"/>
        <v>943.48</v>
      </c>
      <c r="R70" s="53">
        <f t="shared" si="28"/>
        <v>942.66</v>
      </c>
      <c r="S70" s="53">
        <f t="shared" si="28"/>
        <v>1086.5999999999999</v>
      </c>
      <c r="T70" s="53"/>
      <c r="U70" s="53">
        <f>ROUND(SUM(H70:T70),5)</f>
        <v>13656.46</v>
      </c>
      <c r="V70" s="53">
        <f>ROUND(SUM(V66:V69),5)</f>
        <v>25600</v>
      </c>
      <c r="W70" s="53">
        <f>ROUND(SUM(W66:W69),5)</f>
        <v>25500</v>
      </c>
      <c r="AB70" s="86"/>
      <c r="AC70" s="86"/>
      <c r="AD70" s="86"/>
      <c r="AE70" s="86" t="s">
        <v>128</v>
      </c>
      <c r="AF70" s="86" t="s">
        <v>127</v>
      </c>
      <c r="AG70" s="86"/>
      <c r="AH70" s="93"/>
      <c r="AI70" s="93"/>
      <c r="AJ70" s="93"/>
      <c r="AK70" s="93"/>
      <c r="AL70" s="93">
        <f t="shared" ref="AL70:AW70" si="29">ROUND(SUM(AL66:AL69),5)</f>
        <v>1045.44</v>
      </c>
      <c r="AM70" s="93">
        <f t="shared" si="29"/>
        <v>1066.3699999999999</v>
      </c>
      <c r="AN70" s="93">
        <f t="shared" si="29"/>
        <v>3290.71</v>
      </c>
      <c r="AO70" s="93">
        <f t="shared" si="29"/>
        <v>1090.3699999999999</v>
      </c>
      <c r="AP70" s="93">
        <f t="shared" si="29"/>
        <v>1042.3699999999999</v>
      </c>
      <c r="AQ70" s="93">
        <f t="shared" si="29"/>
        <v>1066.3699999999999</v>
      </c>
      <c r="AR70" s="93">
        <f t="shared" si="29"/>
        <v>1468.91</v>
      </c>
      <c r="AS70" s="93">
        <f t="shared" si="29"/>
        <v>1297.3</v>
      </c>
      <c r="AT70" s="93">
        <f t="shared" si="29"/>
        <v>1196.3599999999999</v>
      </c>
      <c r="AU70" s="93">
        <f t="shared" si="29"/>
        <v>1136.9100000000001</v>
      </c>
      <c r="AV70" s="93">
        <f t="shared" si="29"/>
        <v>1590.57</v>
      </c>
      <c r="AW70" s="93">
        <f t="shared" si="29"/>
        <v>1635.44</v>
      </c>
      <c r="AX70" s="93"/>
      <c r="AY70" s="94">
        <f>ROUND(SUM(AH70:AX70),5)</f>
        <v>16927.12</v>
      </c>
      <c r="AZ70" s="94">
        <f>ROUND(SUM(AZ66:AZ69),5)</f>
        <v>20600</v>
      </c>
      <c r="BA70" s="94">
        <f>ROUND(SUM(BA66:BA69),5)</f>
        <v>25600</v>
      </c>
      <c r="BB70" s="95"/>
    </row>
    <row r="71" spans="1:54" x14ac:dyDescent="0.3">
      <c r="A71" s="50"/>
      <c r="B71" s="50"/>
      <c r="C71" s="50"/>
      <c r="D71" s="50"/>
      <c r="E71" s="50" t="s">
        <v>128</v>
      </c>
      <c r="F71" s="50"/>
      <c r="G71" s="50"/>
      <c r="H71" s="51">
        <f t="shared" ref="H71:S71" si="30">ROUND(H41+H47+H52+H56+H60+H65+H70,5)</f>
        <v>20427.5</v>
      </c>
      <c r="I71" s="51">
        <f t="shared" si="30"/>
        <v>27733.33</v>
      </c>
      <c r="J71" s="51">
        <f t="shared" si="30"/>
        <v>23514.880000000001</v>
      </c>
      <c r="K71" s="51">
        <f t="shared" si="30"/>
        <v>33234.839999999997</v>
      </c>
      <c r="L71" s="51">
        <f t="shared" si="30"/>
        <v>23848.2</v>
      </c>
      <c r="M71" s="51">
        <f t="shared" si="30"/>
        <v>31970.85</v>
      </c>
      <c r="N71" s="51">
        <f t="shared" si="30"/>
        <v>45059.15</v>
      </c>
      <c r="O71" s="51">
        <f t="shared" si="30"/>
        <v>25780.14</v>
      </c>
      <c r="P71" s="51">
        <f t="shared" si="30"/>
        <v>26176.5</v>
      </c>
      <c r="Q71" s="51">
        <f t="shared" si="30"/>
        <v>36375.4</v>
      </c>
      <c r="R71" s="51">
        <f t="shared" si="30"/>
        <v>25977.439999999999</v>
      </c>
      <c r="S71" s="51">
        <f t="shared" si="30"/>
        <v>30418.91</v>
      </c>
      <c r="T71" s="51"/>
      <c r="U71" s="51">
        <f>ROUND(SUM(H71:T71),5)</f>
        <v>350517.14</v>
      </c>
      <c r="V71" s="51">
        <f>ROUND(V41+V47+V52+V56+V60+V65+V70,5)</f>
        <v>470191</v>
      </c>
      <c r="W71" s="51">
        <f>ROUND(W41+W47+W52+W56+W60+W65+W70,5)</f>
        <v>457450</v>
      </c>
      <c r="AB71" s="86"/>
      <c r="AC71" s="86"/>
      <c r="AD71" s="86"/>
      <c r="AE71" s="86" t="s">
        <v>129</v>
      </c>
      <c r="AF71" s="86"/>
      <c r="AG71" s="86"/>
      <c r="AH71" s="87"/>
      <c r="AI71" s="87"/>
      <c r="AJ71" s="87"/>
      <c r="AK71" s="87"/>
      <c r="AL71" s="87">
        <f t="shared" ref="AL71:AW71" si="31">ROUND(AL41+AL50+AL56+AL60+AL65+AL70,5)</f>
        <v>16390.41</v>
      </c>
      <c r="AM71" s="87">
        <f t="shared" si="31"/>
        <v>24775.15</v>
      </c>
      <c r="AN71" s="87">
        <f t="shared" si="31"/>
        <v>22713.78</v>
      </c>
      <c r="AO71" s="87">
        <f t="shared" si="31"/>
        <v>37089.300000000003</v>
      </c>
      <c r="AP71" s="87">
        <f t="shared" si="31"/>
        <v>21281.85</v>
      </c>
      <c r="AQ71" s="87">
        <f t="shared" si="31"/>
        <v>25723.74</v>
      </c>
      <c r="AR71" s="87">
        <f t="shared" si="31"/>
        <v>32956.370000000003</v>
      </c>
      <c r="AS71" s="87">
        <f t="shared" si="31"/>
        <v>23897.8</v>
      </c>
      <c r="AT71" s="87">
        <f t="shared" si="31"/>
        <v>26043.08</v>
      </c>
      <c r="AU71" s="87">
        <f t="shared" si="31"/>
        <v>41853.379999999997</v>
      </c>
      <c r="AV71" s="87">
        <f t="shared" si="31"/>
        <v>37546.199999999997</v>
      </c>
      <c r="AW71" s="87">
        <f t="shared" si="31"/>
        <v>35336.639999999999</v>
      </c>
      <c r="AX71" s="87"/>
      <c r="AY71" s="88">
        <f>ROUND(SUM(AH71:AX71),5)</f>
        <v>345607.7</v>
      </c>
      <c r="AZ71" s="88">
        <f>ROUND(AZ41+AZ50+AZ56+AZ60+AZ65+AZ70,5)</f>
        <v>413380</v>
      </c>
      <c r="BA71" s="88">
        <f>ROUND(BA41+BA50+BA56+BA60+BA65+BA70,5)</f>
        <v>470191</v>
      </c>
      <c r="BB71" s="89"/>
    </row>
    <row r="72" spans="1:54" x14ac:dyDescent="0.3">
      <c r="A72" s="50"/>
      <c r="B72" s="50"/>
      <c r="C72" s="50"/>
      <c r="D72" s="50"/>
      <c r="E72" s="50" t="s">
        <v>129</v>
      </c>
      <c r="F72" s="50"/>
      <c r="G72" s="50"/>
      <c r="H72" s="51"/>
      <c r="I72" s="51"/>
      <c r="J72" s="51"/>
      <c r="K72" s="51"/>
      <c r="L72" s="51"/>
      <c r="M72" s="51"/>
      <c r="N72" s="51"/>
      <c r="O72" s="51"/>
      <c r="P72" s="51"/>
      <c r="Q72" s="51"/>
      <c r="R72" s="51"/>
      <c r="S72" s="51"/>
      <c r="T72" s="51"/>
      <c r="U72" s="51"/>
      <c r="V72" s="51"/>
      <c r="W72" s="51"/>
      <c r="AB72" s="86"/>
      <c r="AC72" s="86"/>
      <c r="AD72" s="86"/>
      <c r="AE72" s="86"/>
      <c r="AF72" s="86"/>
      <c r="AG72" s="86"/>
      <c r="AH72" s="87"/>
      <c r="AI72" s="87"/>
      <c r="AJ72" s="87"/>
      <c r="AK72" s="87"/>
      <c r="AL72" s="87"/>
      <c r="AM72" s="87"/>
      <c r="AN72" s="87"/>
      <c r="AO72" s="87"/>
      <c r="AP72" s="87"/>
      <c r="AQ72" s="87"/>
      <c r="AR72" s="87"/>
      <c r="AS72" s="87"/>
      <c r="AT72" s="87"/>
      <c r="AU72" s="87"/>
      <c r="AV72" s="87"/>
      <c r="AW72" s="87"/>
      <c r="AX72" s="87"/>
      <c r="AY72" s="88"/>
      <c r="AZ72" s="88"/>
      <c r="BA72" s="88"/>
      <c r="BB72" s="89"/>
    </row>
    <row r="73" spans="1:54" x14ac:dyDescent="0.3">
      <c r="A73" s="50"/>
      <c r="B73" s="50"/>
      <c r="C73" s="50"/>
      <c r="D73" s="50"/>
      <c r="E73" s="50"/>
      <c r="F73" s="50" t="s">
        <v>130</v>
      </c>
      <c r="G73" s="50"/>
      <c r="H73" s="51"/>
      <c r="I73" s="51"/>
      <c r="J73" s="51"/>
      <c r="K73" s="51"/>
      <c r="L73" s="51"/>
      <c r="M73" s="51"/>
      <c r="N73" s="51"/>
      <c r="O73" s="51"/>
      <c r="P73" s="51"/>
      <c r="Q73" s="51"/>
      <c r="R73" s="51"/>
      <c r="S73" s="51"/>
      <c r="T73" s="51"/>
      <c r="U73" s="51"/>
      <c r="V73" s="51"/>
      <c r="W73" s="51"/>
      <c r="AB73" s="86"/>
      <c r="AC73" s="86"/>
      <c r="AD73" s="86"/>
      <c r="AE73" s="86"/>
      <c r="AF73" s="86" t="s">
        <v>130</v>
      </c>
      <c r="AG73" s="86"/>
      <c r="AH73" s="87"/>
      <c r="AI73" s="87"/>
      <c r="AJ73" s="87"/>
      <c r="AK73" s="87"/>
      <c r="AL73" s="87"/>
      <c r="AM73" s="87"/>
      <c r="AN73" s="87"/>
      <c r="AO73" s="87"/>
      <c r="AP73" s="87"/>
      <c r="AQ73" s="87"/>
      <c r="AR73" s="87"/>
      <c r="AS73" s="87"/>
      <c r="AT73" s="87"/>
      <c r="AU73" s="87"/>
      <c r="AV73" s="87"/>
      <c r="AW73" s="87"/>
      <c r="AX73" s="87"/>
      <c r="AY73" s="88"/>
      <c r="AZ73" s="88"/>
      <c r="BA73" s="88"/>
      <c r="BB73" s="89"/>
    </row>
    <row r="74" spans="1:54" x14ac:dyDescent="0.3">
      <c r="A74" s="50"/>
      <c r="B74" s="50"/>
      <c r="C74" s="50"/>
      <c r="D74" s="50"/>
      <c r="E74" s="50"/>
      <c r="F74" s="50"/>
      <c r="G74" s="50" t="s">
        <v>131</v>
      </c>
      <c r="H74" s="51">
        <v>336.79</v>
      </c>
      <c r="I74" s="51">
        <v>343.57</v>
      </c>
      <c r="J74" s="51">
        <v>340.18</v>
      </c>
      <c r="K74" s="51">
        <v>340.18</v>
      </c>
      <c r="L74" s="51">
        <v>471.16</v>
      </c>
      <c r="M74" s="51">
        <v>340.18</v>
      </c>
      <c r="N74" s="51">
        <v>340.18</v>
      </c>
      <c r="O74" s="51">
        <v>340.18</v>
      </c>
      <c r="P74" s="51">
        <v>340.18</v>
      </c>
      <c r="Q74" s="51">
        <v>340.18</v>
      </c>
      <c r="R74" s="51">
        <v>340.18</v>
      </c>
      <c r="S74" s="51">
        <v>336.79</v>
      </c>
      <c r="T74" s="51"/>
      <c r="U74" s="51">
        <f>ROUND(SUM(H74:T74),5)</f>
        <v>4209.75</v>
      </c>
      <c r="V74" s="67">
        <v>4100</v>
      </c>
      <c r="W74" s="67">
        <v>4400</v>
      </c>
      <c r="AB74" s="86"/>
      <c r="AC74" s="86"/>
      <c r="AD74" s="86"/>
      <c r="AE74" s="86"/>
      <c r="AF74" s="86"/>
      <c r="AG74" s="86" t="s">
        <v>131</v>
      </c>
      <c r="AH74" s="87"/>
      <c r="AI74" s="87"/>
      <c r="AJ74" s="87"/>
      <c r="AK74" s="87"/>
      <c r="AL74" s="87">
        <v>265.27999999999997</v>
      </c>
      <c r="AM74" s="87">
        <v>329.08</v>
      </c>
      <c r="AN74" s="87">
        <v>297.18</v>
      </c>
      <c r="AO74" s="87">
        <v>297.18</v>
      </c>
      <c r="AP74" s="87">
        <v>297.18</v>
      </c>
      <c r="AQ74" s="87">
        <v>342.55</v>
      </c>
      <c r="AR74" s="87">
        <v>336.79</v>
      </c>
      <c r="AS74" s="87">
        <v>336.79</v>
      </c>
      <c r="AT74" s="87">
        <v>336.79</v>
      </c>
      <c r="AU74" s="87">
        <v>336.79</v>
      </c>
      <c r="AV74" s="87">
        <v>265.27999999999997</v>
      </c>
      <c r="AW74" s="87">
        <v>265.27999999999997</v>
      </c>
      <c r="AX74" s="87"/>
      <c r="AY74" s="88">
        <f>ROUND(SUM(AH74:AX74),5)</f>
        <v>3706.17</v>
      </c>
      <c r="AZ74" s="88">
        <v>3300</v>
      </c>
      <c r="BA74" s="88">
        <v>4100</v>
      </c>
      <c r="BB74" s="89" t="s">
        <v>250</v>
      </c>
    </row>
    <row r="75" spans="1:54" ht="15" thickBot="1" x14ac:dyDescent="0.35">
      <c r="A75" s="50"/>
      <c r="B75" s="50"/>
      <c r="C75" s="50"/>
      <c r="D75" s="50"/>
      <c r="E75" s="50"/>
      <c r="F75" s="50"/>
      <c r="G75" s="50" t="s">
        <v>132</v>
      </c>
      <c r="H75" s="52">
        <v>0</v>
      </c>
      <c r="I75" s="52">
        <v>613.13</v>
      </c>
      <c r="J75" s="52">
        <v>621.05999999999995</v>
      </c>
      <c r="K75" s="52">
        <v>649.05999999999995</v>
      </c>
      <c r="L75" s="52">
        <v>447.52</v>
      </c>
      <c r="M75" s="52">
        <v>449.1</v>
      </c>
      <c r="N75" s="52">
        <v>352.72</v>
      </c>
      <c r="O75" s="52">
        <v>368.99</v>
      </c>
      <c r="P75" s="52">
        <v>439.86</v>
      </c>
      <c r="Q75" s="52">
        <v>437.05</v>
      </c>
      <c r="R75" s="52">
        <v>528.09</v>
      </c>
      <c r="S75" s="52">
        <v>1125.5899999999999</v>
      </c>
      <c r="T75" s="52"/>
      <c r="U75" s="52">
        <f>ROUND(SUM(H75:T75),5)</f>
        <v>6032.17</v>
      </c>
      <c r="V75" s="69">
        <v>5500</v>
      </c>
      <c r="W75" s="69">
        <v>6000</v>
      </c>
      <c r="AB75" s="86"/>
      <c r="AC75" s="86"/>
      <c r="AD75" s="86"/>
      <c r="AE75" s="86"/>
      <c r="AF75" s="86"/>
      <c r="AG75" s="86" t="s">
        <v>132</v>
      </c>
      <c r="AH75" s="90"/>
      <c r="AI75" s="90"/>
      <c r="AJ75" s="90"/>
      <c r="AK75" s="90"/>
      <c r="AL75" s="90">
        <v>0</v>
      </c>
      <c r="AM75" s="90">
        <v>563.13</v>
      </c>
      <c r="AN75" s="90">
        <v>558</v>
      </c>
      <c r="AO75" s="90">
        <v>564.51</v>
      </c>
      <c r="AP75" s="90">
        <v>381.22</v>
      </c>
      <c r="AQ75" s="90">
        <v>394.29</v>
      </c>
      <c r="AR75" s="90">
        <v>348.74</v>
      </c>
      <c r="AS75" s="90">
        <v>330.04</v>
      </c>
      <c r="AT75" s="90">
        <v>387.21</v>
      </c>
      <c r="AU75" s="90">
        <v>320.44</v>
      </c>
      <c r="AV75" s="90">
        <v>350.52</v>
      </c>
      <c r="AW75" s="90">
        <v>939.43</v>
      </c>
      <c r="AX75" s="90"/>
      <c r="AY75" s="91">
        <f>ROUND(SUM(AH75:AX75),5)</f>
        <v>5137.53</v>
      </c>
      <c r="AZ75" s="91">
        <v>5000</v>
      </c>
      <c r="BA75" s="91">
        <v>5500</v>
      </c>
      <c r="BB75" s="92"/>
    </row>
    <row r="76" spans="1:54" x14ac:dyDescent="0.3">
      <c r="A76" s="50"/>
      <c r="B76" s="50"/>
      <c r="C76" s="50"/>
      <c r="D76" s="50"/>
      <c r="E76" s="50"/>
      <c r="F76" s="50" t="s">
        <v>133</v>
      </c>
      <c r="G76" s="50"/>
      <c r="H76" s="51">
        <f t="shared" ref="H76:P76" si="32">ROUND(SUM(H73:H75),5)</f>
        <v>336.79</v>
      </c>
      <c r="I76" s="51">
        <f t="shared" si="32"/>
        <v>956.7</v>
      </c>
      <c r="J76" s="51">
        <f t="shared" si="32"/>
        <v>961.24</v>
      </c>
      <c r="K76" s="51">
        <f t="shared" si="32"/>
        <v>989.24</v>
      </c>
      <c r="L76" s="51">
        <f t="shared" si="32"/>
        <v>918.68</v>
      </c>
      <c r="M76" s="51">
        <f t="shared" si="32"/>
        <v>789.28</v>
      </c>
      <c r="N76" s="51">
        <f t="shared" si="32"/>
        <v>692.9</v>
      </c>
      <c r="O76" s="51">
        <f t="shared" si="32"/>
        <v>709.17</v>
      </c>
      <c r="P76" s="51">
        <f t="shared" si="32"/>
        <v>780.04</v>
      </c>
      <c r="Q76" s="51">
        <f>ROUND(SUM(Q73:Q75),5)</f>
        <v>777.23</v>
      </c>
      <c r="R76" s="51">
        <f>ROUND(SUM(R73:R75),5)</f>
        <v>868.27</v>
      </c>
      <c r="S76" s="51">
        <f>ROUND(SUM(S73:S75),5)</f>
        <v>1462.38</v>
      </c>
      <c r="T76" s="51"/>
      <c r="U76" s="51">
        <f>ROUND(SUM(H76:T76),5)</f>
        <v>10241.92</v>
      </c>
      <c r="V76" s="51">
        <f>ROUND(SUM(V73:V75),5)</f>
        <v>9600</v>
      </c>
      <c r="W76" s="51">
        <f>ROUND(SUM(W73:W75),5)</f>
        <v>10400</v>
      </c>
      <c r="AB76" s="86"/>
      <c r="AC76" s="86"/>
      <c r="AD76" s="86"/>
      <c r="AE76" s="86"/>
      <c r="AF76" s="86" t="s">
        <v>133</v>
      </c>
      <c r="AG76" s="86"/>
      <c r="AH76" s="87"/>
      <c r="AI76" s="87"/>
      <c r="AJ76" s="87"/>
      <c r="AK76" s="87"/>
      <c r="AL76" s="87">
        <f t="shared" ref="AL76:AW76" si="33">ROUND(SUM(AL73:AL75),5)</f>
        <v>265.27999999999997</v>
      </c>
      <c r="AM76" s="87">
        <f t="shared" si="33"/>
        <v>892.21</v>
      </c>
      <c r="AN76" s="87">
        <f t="shared" si="33"/>
        <v>855.18</v>
      </c>
      <c r="AO76" s="87">
        <f t="shared" si="33"/>
        <v>861.69</v>
      </c>
      <c r="AP76" s="87">
        <f t="shared" si="33"/>
        <v>678.4</v>
      </c>
      <c r="AQ76" s="87">
        <f t="shared" si="33"/>
        <v>736.84</v>
      </c>
      <c r="AR76" s="87">
        <f t="shared" si="33"/>
        <v>685.53</v>
      </c>
      <c r="AS76" s="87">
        <f t="shared" si="33"/>
        <v>666.83</v>
      </c>
      <c r="AT76" s="87">
        <f t="shared" si="33"/>
        <v>724</v>
      </c>
      <c r="AU76" s="87">
        <f t="shared" si="33"/>
        <v>657.23</v>
      </c>
      <c r="AV76" s="87">
        <f t="shared" si="33"/>
        <v>615.79999999999995</v>
      </c>
      <c r="AW76" s="87">
        <f t="shared" si="33"/>
        <v>1204.71</v>
      </c>
      <c r="AX76" s="87"/>
      <c r="AY76" s="88">
        <f>ROUND(SUM(AH76:AX76),5)</f>
        <v>8843.7000000000007</v>
      </c>
      <c r="AZ76" s="88">
        <f>ROUND(SUM(AZ73:AZ75),5)</f>
        <v>8300</v>
      </c>
      <c r="BA76" s="88">
        <f>ROUND(SUM(BA73:BA75),5)</f>
        <v>9600</v>
      </c>
      <c r="BB76" s="89"/>
    </row>
    <row r="77" spans="1:54" x14ac:dyDescent="0.3">
      <c r="A77" s="50"/>
      <c r="B77" s="50"/>
      <c r="C77" s="50"/>
      <c r="D77" s="50"/>
      <c r="E77" s="50"/>
      <c r="F77" s="50"/>
      <c r="G77" s="50"/>
      <c r="H77" s="51"/>
      <c r="I77" s="51"/>
      <c r="J77" s="51"/>
      <c r="K77" s="51"/>
      <c r="L77" s="51"/>
      <c r="M77" s="51"/>
      <c r="N77" s="51"/>
      <c r="O77" s="51"/>
      <c r="P77" s="51"/>
      <c r="Q77" s="51"/>
      <c r="R77" s="51"/>
      <c r="S77" s="51"/>
      <c r="T77" s="51"/>
      <c r="U77" s="51"/>
      <c r="V77" s="51"/>
      <c r="W77" s="51"/>
      <c r="AB77" s="86"/>
      <c r="AC77" s="86"/>
      <c r="AD77" s="86"/>
      <c r="AE77" s="86"/>
      <c r="AF77" s="86"/>
      <c r="AG77" s="86"/>
      <c r="AH77" s="87"/>
      <c r="AI77" s="87"/>
      <c r="AJ77" s="87"/>
      <c r="AK77" s="87"/>
      <c r="AL77" s="87"/>
      <c r="AM77" s="87"/>
      <c r="AN77" s="87"/>
      <c r="AO77" s="87"/>
      <c r="AP77" s="87"/>
      <c r="AQ77" s="87"/>
      <c r="AR77" s="87"/>
      <c r="AS77" s="87"/>
      <c r="AT77" s="87"/>
      <c r="AU77" s="87"/>
      <c r="AV77" s="87"/>
      <c r="AW77" s="87"/>
      <c r="AX77" s="87"/>
      <c r="AY77" s="88"/>
      <c r="AZ77" s="88"/>
      <c r="BA77" s="88"/>
      <c r="BB77" s="89"/>
    </row>
    <row r="78" spans="1:54" x14ac:dyDescent="0.3">
      <c r="A78" s="50"/>
      <c r="B78" s="50"/>
      <c r="C78" s="50"/>
      <c r="D78" s="50"/>
      <c r="E78" s="50"/>
      <c r="F78" s="50"/>
      <c r="G78" s="50"/>
      <c r="H78" s="51"/>
      <c r="I78" s="51"/>
      <c r="J78" s="51"/>
      <c r="K78" s="51"/>
      <c r="L78" s="51"/>
      <c r="M78" s="51"/>
      <c r="N78" s="51"/>
      <c r="O78" s="51"/>
      <c r="P78" s="51"/>
      <c r="Q78" s="51"/>
      <c r="R78" s="51"/>
      <c r="S78" s="51"/>
      <c r="T78" s="51"/>
      <c r="U78" s="51"/>
      <c r="V78" s="51"/>
      <c r="W78" s="51"/>
      <c r="AB78" s="86"/>
      <c r="AC78" s="86"/>
      <c r="AD78" s="86"/>
      <c r="AE78" s="86"/>
      <c r="AF78" s="86"/>
      <c r="AG78" s="86"/>
      <c r="AH78" s="87"/>
      <c r="AI78" s="87"/>
      <c r="AJ78" s="87"/>
      <c r="AK78" s="87"/>
      <c r="AL78" s="87"/>
      <c r="AM78" s="87"/>
      <c r="AN78" s="87"/>
      <c r="AO78" s="87"/>
      <c r="AP78" s="87"/>
      <c r="AQ78" s="87"/>
      <c r="AR78" s="87"/>
      <c r="AS78" s="87"/>
      <c r="AT78" s="87"/>
      <c r="AU78" s="87"/>
      <c r="AV78" s="87"/>
      <c r="AW78" s="87"/>
      <c r="AX78" s="87"/>
      <c r="AY78" s="88"/>
      <c r="AZ78" s="88"/>
      <c r="BA78" s="88"/>
      <c r="BB78" s="89"/>
    </row>
    <row r="79" spans="1:54" x14ac:dyDescent="0.3">
      <c r="A79" s="50"/>
      <c r="B79" s="50"/>
      <c r="C79" s="50"/>
      <c r="D79" s="50"/>
      <c r="E79" s="50"/>
      <c r="F79" s="50"/>
      <c r="G79" s="50"/>
      <c r="H79" s="51"/>
      <c r="I79" s="51"/>
      <c r="J79" s="51"/>
      <c r="K79" s="51"/>
      <c r="L79" s="51"/>
      <c r="M79" s="51"/>
      <c r="N79" s="51"/>
      <c r="O79" s="51"/>
      <c r="P79" s="51"/>
      <c r="Q79" s="51"/>
      <c r="R79" s="51"/>
      <c r="S79" s="51"/>
      <c r="T79" s="51"/>
      <c r="U79" s="51"/>
      <c r="V79" s="51"/>
      <c r="W79" s="51"/>
      <c r="AB79" s="86"/>
      <c r="AC79" s="86"/>
      <c r="AD79" s="86"/>
      <c r="AE79" s="86"/>
      <c r="AF79" s="86"/>
      <c r="AG79" s="86"/>
      <c r="AH79" s="87"/>
      <c r="AI79" s="87"/>
      <c r="AJ79" s="87"/>
      <c r="AK79" s="87"/>
      <c r="AL79" s="87"/>
      <c r="AM79" s="87"/>
      <c r="AN79" s="87"/>
      <c r="AO79" s="87"/>
      <c r="AP79" s="87"/>
      <c r="AQ79" s="87"/>
      <c r="AR79" s="87"/>
      <c r="AS79" s="87"/>
      <c r="AT79" s="87"/>
      <c r="AU79" s="87"/>
      <c r="AV79" s="87"/>
      <c r="AW79" s="87"/>
      <c r="AX79" s="87"/>
      <c r="AY79" s="88"/>
      <c r="AZ79" s="88"/>
      <c r="BA79" s="88"/>
      <c r="BB79" s="89"/>
    </row>
    <row r="80" spans="1:54" x14ac:dyDescent="0.3">
      <c r="A80" s="50"/>
      <c r="B80" s="50"/>
      <c r="C80" s="50"/>
      <c r="D80" s="50"/>
      <c r="E80" s="50"/>
      <c r="F80" s="50"/>
      <c r="G80" s="50"/>
      <c r="H80" s="51"/>
      <c r="I80" s="51"/>
      <c r="J80" s="51"/>
      <c r="K80" s="51"/>
      <c r="L80" s="51"/>
      <c r="M80" s="51"/>
      <c r="N80" s="51"/>
      <c r="O80" s="51"/>
      <c r="P80" s="51"/>
      <c r="Q80" s="51"/>
      <c r="R80" s="51"/>
      <c r="S80" s="51"/>
      <c r="T80" s="51"/>
      <c r="U80" s="51"/>
      <c r="V80" s="51"/>
      <c r="W80" s="51"/>
      <c r="AB80" s="86"/>
      <c r="AC80" s="86"/>
      <c r="AD80" s="86"/>
      <c r="AE80" s="86"/>
      <c r="AF80" s="86"/>
      <c r="AG80" s="86"/>
      <c r="AH80" s="87"/>
      <c r="AI80" s="87"/>
      <c r="AJ80" s="87"/>
      <c r="AK80" s="87"/>
      <c r="AL80" s="87"/>
      <c r="AM80" s="87"/>
      <c r="AN80" s="87"/>
      <c r="AO80" s="87"/>
      <c r="AP80" s="87"/>
      <c r="AQ80" s="87"/>
      <c r="AR80" s="87"/>
      <c r="AS80" s="87"/>
      <c r="AT80" s="87"/>
      <c r="AU80" s="87"/>
      <c r="AV80" s="87"/>
      <c r="AW80" s="87"/>
      <c r="AX80" s="87"/>
      <c r="AY80" s="88"/>
      <c r="AZ80" s="88"/>
      <c r="BA80" s="88"/>
      <c r="BB80" s="89"/>
    </row>
    <row r="81" spans="1:54" x14ac:dyDescent="0.3">
      <c r="A81" s="50"/>
      <c r="B81" s="50"/>
      <c r="C81" s="50"/>
      <c r="D81" s="50"/>
      <c r="E81" s="50"/>
      <c r="F81" s="50"/>
      <c r="G81" s="50"/>
      <c r="H81" s="51"/>
      <c r="I81" s="51"/>
      <c r="J81" s="51"/>
      <c r="K81" s="51"/>
      <c r="L81" s="51"/>
      <c r="M81" s="51"/>
      <c r="N81" s="51"/>
      <c r="O81" s="51"/>
      <c r="P81" s="51"/>
      <c r="Q81" s="51"/>
      <c r="R81" s="51"/>
      <c r="S81" s="51"/>
      <c r="T81" s="51"/>
      <c r="U81" s="51"/>
      <c r="V81" s="51"/>
      <c r="W81" s="51"/>
      <c r="AB81" s="86"/>
      <c r="AC81" s="86"/>
      <c r="AD81" s="86"/>
      <c r="AE81" s="86"/>
      <c r="AF81" s="86"/>
      <c r="AG81" s="86"/>
      <c r="AH81" s="87"/>
      <c r="AI81" s="87"/>
      <c r="AJ81" s="87"/>
      <c r="AK81" s="87"/>
      <c r="AL81" s="87"/>
      <c r="AM81" s="87"/>
      <c r="AN81" s="87"/>
      <c r="AO81" s="87"/>
      <c r="AP81" s="87"/>
      <c r="AQ81" s="87"/>
      <c r="AR81" s="87"/>
      <c r="AS81" s="87"/>
      <c r="AT81" s="87"/>
      <c r="AU81" s="87"/>
      <c r="AV81" s="87"/>
      <c r="AW81" s="87"/>
      <c r="AX81" s="87"/>
      <c r="AY81" s="88"/>
      <c r="AZ81" s="88"/>
      <c r="BA81" s="88"/>
      <c r="BB81" s="89"/>
    </row>
    <row r="82" spans="1:54" x14ac:dyDescent="0.3">
      <c r="A82" s="50"/>
      <c r="B82" s="50"/>
      <c r="C82" s="50"/>
      <c r="D82" s="50"/>
      <c r="E82" s="50"/>
      <c r="F82" s="50"/>
      <c r="G82" s="50"/>
      <c r="H82" s="51"/>
      <c r="I82" s="51"/>
      <c r="J82" s="51"/>
      <c r="K82" s="51"/>
      <c r="L82" s="51"/>
      <c r="M82" s="51"/>
      <c r="N82" s="51"/>
      <c r="O82" s="51"/>
      <c r="P82" s="51"/>
      <c r="Q82" s="51"/>
      <c r="R82" s="51"/>
      <c r="S82" s="51"/>
      <c r="T82" s="51"/>
      <c r="U82" s="51"/>
      <c r="V82" s="51"/>
      <c r="W82" s="51"/>
      <c r="AB82" s="86"/>
      <c r="AC82" s="86"/>
      <c r="AD82" s="86"/>
      <c r="AE82" s="86"/>
      <c r="AF82" s="86"/>
      <c r="AG82" s="86"/>
      <c r="AH82" s="87"/>
      <c r="AI82" s="87"/>
      <c r="AJ82" s="87"/>
      <c r="AK82" s="87"/>
      <c r="AL82" s="87"/>
      <c r="AM82" s="87"/>
      <c r="AN82" s="87"/>
      <c r="AO82" s="87"/>
      <c r="AP82" s="87"/>
      <c r="AQ82" s="87"/>
      <c r="AR82" s="87"/>
      <c r="AS82" s="87"/>
      <c r="AT82" s="87"/>
      <c r="AU82" s="87"/>
      <c r="AV82" s="87"/>
      <c r="AW82" s="87"/>
      <c r="AX82" s="87"/>
      <c r="AY82" s="88"/>
      <c r="AZ82" s="88"/>
      <c r="BA82" s="88"/>
      <c r="BB82" s="89"/>
    </row>
    <row r="83" spans="1:54" x14ac:dyDescent="0.3">
      <c r="A83" s="50"/>
      <c r="B83" s="50"/>
      <c r="C83" s="50"/>
      <c r="D83" s="50"/>
      <c r="E83" s="50"/>
      <c r="F83" s="50"/>
      <c r="G83" s="50"/>
      <c r="H83" s="51"/>
      <c r="I83" s="51"/>
      <c r="J83" s="51"/>
      <c r="K83" s="51"/>
      <c r="L83" s="51"/>
      <c r="M83" s="51"/>
      <c r="N83" s="51"/>
      <c r="O83" s="51"/>
      <c r="P83" s="51"/>
      <c r="Q83" s="51"/>
      <c r="R83" s="51"/>
      <c r="S83" s="51"/>
      <c r="T83" s="51"/>
      <c r="U83" s="51"/>
      <c r="V83" s="51"/>
      <c r="W83" s="51"/>
      <c r="AB83" s="86"/>
      <c r="AC83" s="86"/>
      <c r="AD83" s="86"/>
      <c r="AE83" s="86"/>
      <c r="AF83" s="86"/>
      <c r="AG83" s="86"/>
      <c r="AH83" s="87"/>
      <c r="AI83" s="87"/>
      <c r="AJ83" s="87"/>
      <c r="AK83" s="87"/>
      <c r="AL83" s="87"/>
      <c r="AM83" s="87"/>
      <c r="AN83" s="87"/>
      <c r="AO83" s="87"/>
      <c r="AP83" s="87"/>
      <c r="AQ83" s="87"/>
      <c r="AR83" s="87"/>
      <c r="AS83" s="87"/>
      <c r="AT83" s="87"/>
      <c r="AU83" s="87"/>
      <c r="AV83" s="87"/>
      <c r="AW83" s="87"/>
      <c r="AX83" s="87"/>
      <c r="AY83" s="88"/>
      <c r="AZ83" s="88"/>
      <c r="BA83" s="88"/>
      <c r="BB83" s="89"/>
    </row>
    <row r="84" spans="1:54" x14ac:dyDescent="0.3">
      <c r="A84" s="50"/>
      <c r="B84" s="50"/>
      <c r="C84" s="50"/>
      <c r="D84" s="50"/>
      <c r="E84" s="50"/>
      <c r="F84" s="50"/>
      <c r="G84" s="50"/>
      <c r="H84" s="51"/>
      <c r="I84" s="51"/>
      <c r="J84" s="51"/>
      <c r="K84" s="51"/>
      <c r="L84" s="51"/>
      <c r="M84" s="51"/>
      <c r="N84" s="51"/>
      <c r="O84" s="51"/>
      <c r="P84" s="51"/>
      <c r="Q84" s="51"/>
      <c r="R84" s="51"/>
      <c r="S84" s="51"/>
      <c r="T84" s="51"/>
      <c r="U84" s="51"/>
      <c r="V84" s="51"/>
      <c r="W84" s="51"/>
      <c r="AB84" s="86"/>
      <c r="AC84" s="86"/>
      <c r="AD84" s="86"/>
      <c r="AE84" s="86"/>
      <c r="AF84" s="86"/>
      <c r="AG84" s="86"/>
      <c r="AH84" s="87"/>
      <c r="AI84" s="87"/>
      <c r="AJ84" s="87"/>
      <c r="AK84" s="87"/>
      <c r="AL84" s="87"/>
      <c r="AM84" s="87"/>
      <c r="AN84" s="87"/>
      <c r="AO84" s="87"/>
      <c r="AP84" s="87"/>
      <c r="AQ84" s="87"/>
      <c r="AR84" s="87"/>
      <c r="AS84" s="87"/>
      <c r="AT84" s="87"/>
      <c r="AU84" s="87"/>
      <c r="AV84" s="87"/>
      <c r="AW84" s="87"/>
      <c r="AX84" s="87"/>
      <c r="AY84" s="88"/>
      <c r="AZ84" s="88"/>
      <c r="BA84" s="88"/>
      <c r="BB84" s="89"/>
    </row>
    <row r="85" spans="1:54" x14ac:dyDescent="0.3">
      <c r="A85" s="50"/>
      <c r="B85" s="50"/>
      <c r="C85" s="50"/>
      <c r="D85" s="50"/>
      <c r="E85" s="50"/>
      <c r="F85" s="50"/>
      <c r="G85" s="50"/>
      <c r="H85" s="51"/>
      <c r="I85" s="51"/>
      <c r="J85" s="51"/>
      <c r="K85" s="51"/>
      <c r="L85" s="51"/>
      <c r="M85" s="51"/>
      <c r="N85" s="51"/>
      <c r="O85" s="51"/>
      <c r="P85" s="51"/>
      <c r="Q85" s="51"/>
      <c r="R85" s="51"/>
      <c r="S85" s="51"/>
      <c r="T85" s="51"/>
      <c r="U85" s="51"/>
      <c r="V85" s="51"/>
      <c r="W85" s="51"/>
      <c r="AB85" s="86"/>
      <c r="AC85" s="86"/>
      <c r="AD85" s="86"/>
      <c r="AE85" s="86"/>
      <c r="AF85" s="86"/>
      <c r="AG85" s="86"/>
      <c r="AH85" s="87"/>
      <c r="AI85" s="87"/>
      <c r="AJ85" s="87"/>
      <c r="AK85" s="87"/>
      <c r="AL85" s="87"/>
      <c r="AM85" s="87"/>
      <c r="AN85" s="87"/>
      <c r="AO85" s="87"/>
      <c r="AP85" s="87"/>
      <c r="AQ85" s="87"/>
      <c r="AR85" s="87"/>
      <c r="AS85" s="87"/>
      <c r="AT85" s="87"/>
      <c r="AU85" s="87"/>
      <c r="AV85" s="87"/>
      <c r="AW85" s="87"/>
      <c r="AX85" s="87"/>
      <c r="AY85" s="88"/>
      <c r="AZ85" s="88"/>
      <c r="BA85" s="88"/>
      <c r="BB85" s="89"/>
    </row>
    <row r="86" spans="1:54" x14ac:dyDescent="0.3">
      <c r="A86" s="50"/>
      <c r="B86" s="50"/>
      <c r="C86" s="50"/>
      <c r="D86" s="50"/>
      <c r="E86" s="50"/>
      <c r="F86" s="50"/>
      <c r="G86" s="50"/>
      <c r="H86" s="51"/>
      <c r="I86" s="51"/>
      <c r="J86" s="51"/>
      <c r="K86" s="51"/>
      <c r="L86" s="51"/>
      <c r="M86" s="51"/>
      <c r="N86" s="51"/>
      <c r="O86" s="51"/>
      <c r="P86" s="51"/>
      <c r="Q86" s="51"/>
      <c r="R86" s="51"/>
      <c r="S86" s="51"/>
      <c r="T86" s="51"/>
      <c r="U86" s="51"/>
      <c r="V86" s="51"/>
      <c r="W86" s="51"/>
      <c r="AB86" s="86"/>
      <c r="AC86" s="86"/>
      <c r="AD86" s="86"/>
      <c r="AE86" s="86"/>
      <c r="AF86" s="86"/>
      <c r="AG86" s="86"/>
      <c r="AH86" s="87"/>
      <c r="AI86" s="87"/>
      <c r="AJ86" s="87"/>
      <c r="AK86" s="87"/>
      <c r="AL86" s="87"/>
      <c r="AM86" s="87"/>
      <c r="AN86" s="87"/>
      <c r="AO86" s="87"/>
      <c r="AP86" s="87"/>
      <c r="AQ86" s="87"/>
      <c r="AR86" s="87"/>
      <c r="AS86" s="87"/>
      <c r="AT86" s="87"/>
      <c r="AU86" s="87"/>
      <c r="AV86" s="87"/>
      <c r="AW86" s="87"/>
      <c r="AX86" s="87"/>
      <c r="AY86" s="88"/>
      <c r="AZ86" s="88"/>
      <c r="BA86" s="88"/>
      <c r="BB86" s="89"/>
    </row>
    <row r="87" spans="1:54" x14ac:dyDescent="0.3">
      <c r="A87" s="50"/>
      <c r="B87" s="50"/>
      <c r="C87" s="50"/>
      <c r="D87" s="50"/>
      <c r="E87" s="50"/>
      <c r="F87" s="50"/>
      <c r="G87" s="50"/>
      <c r="H87" s="51"/>
      <c r="I87" s="51"/>
      <c r="J87" s="51"/>
      <c r="K87" s="51"/>
      <c r="L87" s="51"/>
      <c r="M87" s="51"/>
      <c r="N87" s="51"/>
      <c r="O87" s="51"/>
      <c r="P87" s="51"/>
      <c r="Q87" s="51"/>
      <c r="R87" s="51"/>
      <c r="S87" s="51"/>
      <c r="T87" s="51"/>
      <c r="U87" s="51"/>
      <c r="V87" s="51"/>
      <c r="W87" s="51"/>
      <c r="AB87" s="86"/>
      <c r="AC87" s="86"/>
      <c r="AD87" s="86"/>
      <c r="AE87" s="86"/>
      <c r="AF87" s="86"/>
      <c r="AG87" s="86"/>
      <c r="AH87" s="87"/>
      <c r="AI87" s="87"/>
      <c r="AJ87" s="87"/>
      <c r="AK87" s="87"/>
      <c r="AL87" s="87"/>
      <c r="AM87" s="87"/>
      <c r="AN87" s="87"/>
      <c r="AO87" s="87"/>
      <c r="AP87" s="87"/>
      <c r="AQ87" s="87"/>
      <c r="AR87" s="87"/>
      <c r="AS87" s="87"/>
      <c r="AT87" s="87"/>
      <c r="AU87" s="87"/>
      <c r="AV87" s="87"/>
      <c r="AW87" s="87"/>
      <c r="AX87" s="87"/>
      <c r="AY87" s="88"/>
      <c r="AZ87" s="88"/>
      <c r="BA87" s="88"/>
      <c r="BB87" s="89"/>
    </row>
    <row r="88" spans="1:54" x14ac:dyDescent="0.3">
      <c r="A88" s="50"/>
      <c r="B88" s="50"/>
      <c r="C88" s="50"/>
      <c r="D88" s="50"/>
      <c r="E88" s="50"/>
      <c r="F88" s="50"/>
      <c r="G88" s="50"/>
      <c r="H88" s="51"/>
      <c r="I88" s="51"/>
      <c r="J88" s="51"/>
      <c r="K88" s="51"/>
      <c r="L88" s="51"/>
      <c r="M88" s="51"/>
      <c r="N88" s="51"/>
      <c r="O88" s="51"/>
      <c r="P88" s="51"/>
      <c r="Q88" s="51"/>
      <c r="R88" s="51"/>
      <c r="S88" s="51"/>
      <c r="T88" s="51"/>
      <c r="U88" s="51"/>
      <c r="V88" s="51"/>
      <c r="W88" s="51"/>
      <c r="AB88" s="86"/>
      <c r="AC88" s="86"/>
      <c r="AD88" s="86"/>
      <c r="AE88" s="86"/>
      <c r="AF88" s="86"/>
      <c r="AG88" s="86"/>
      <c r="AH88" s="87"/>
      <c r="AI88" s="87"/>
      <c r="AJ88" s="87"/>
      <c r="AK88" s="87"/>
      <c r="AL88" s="87"/>
      <c r="AM88" s="87"/>
      <c r="AN88" s="87"/>
      <c r="AO88" s="87"/>
      <c r="AP88" s="87"/>
      <c r="AQ88" s="87"/>
      <c r="AR88" s="87"/>
      <c r="AS88" s="87"/>
      <c r="AT88" s="87"/>
      <c r="AU88" s="87"/>
      <c r="AV88" s="87"/>
      <c r="AW88" s="87"/>
      <c r="AX88" s="87"/>
      <c r="AY88" s="88"/>
      <c r="AZ88" s="88"/>
      <c r="BA88" s="88"/>
      <c r="BB88" s="89"/>
    </row>
    <row r="89" spans="1:54" x14ac:dyDescent="0.3">
      <c r="A89" s="50"/>
      <c r="B89" s="50"/>
      <c r="C89" s="50"/>
      <c r="D89" s="50"/>
      <c r="E89" s="50"/>
      <c r="F89" s="50"/>
      <c r="G89" s="50"/>
      <c r="H89" s="51"/>
      <c r="I89" s="51"/>
      <c r="J89" s="51"/>
      <c r="K89" s="51"/>
      <c r="L89" s="51"/>
      <c r="M89" s="51"/>
      <c r="N89" s="51"/>
      <c r="O89" s="51"/>
      <c r="P89" s="51"/>
      <c r="Q89" s="51"/>
      <c r="R89" s="51"/>
      <c r="S89" s="51"/>
      <c r="T89" s="51"/>
      <c r="U89" s="51"/>
      <c r="V89" s="51"/>
      <c r="W89" s="51"/>
      <c r="AB89" s="86"/>
      <c r="AC89" s="86"/>
      <c r="AD89" s="86"/>
      <c r="AE89" s="86"/>
      <c r="AF89" s="86"/>
      <c r="AG89" s="86"/>
      <c r="AH89" s="87"/>
      <c r="AI89" s="87"/>
      <c r="AJ89" s="87"/>
      <c r="AK89" s="87"/>
      <c r="AL89" s="87"/>
      <c r="AM89" s="87"/>
      <c r="AN89" s="87"/>
      <c r="AO89" s="87"/>
      <c r="AP89" s="87"/>
      <c r="AQ89" s="87"/>
      <c r="AR89" s="87"/>
      <c r="AS89" s="87"/>
      <c r="AT89" s="87"/>
      <c r="AU89" s="87"/>
      <c r="AV89" s="87"/>
      <c r="AW89" s="87"/>
      <c r="AX89" s="87"/>
      <c r="AY89" s="88"/>
      <c r="AZ89" s="88"/>
      <c r="BA89" s="88"/>
      <c r="BB89" s="89"/>
    </row>
    <row r="90" spans="1:54" x14ac:dyDescent="0.3">
      <c r="A90" s="50"/>
      <c r="B90" s="50"/>
      <c r="C90" s="50"/>
      <c r="D90" s="50"/>
      <c r="E90" s="50"/>
      <c r="F90" s="50"/>
      <c r="G90" s="50"/>
      <c r="H90" s="51"/>
      <c r="I90" s="51"/>
      <c r="J90" s="51"/>
      <c r="K90" s="51"/>
      <c r="L90" s="51"/>
      <c r="M90" s="51"/>
      <c r="N90" s="51"/>
      <c r="O90" s="51"/>
      <c r="P90" s="51"/>
      <c r="Q90" s="51"/>
      <c r="R90" s="51"/>
      <c r="S90" s="51"/>
      <c r="T90" s="51"/>
      <c r="U90" s="51"/>
      <c r="V90" s="51"/>
      <c r="W90" s="51"/>
      <c r="AB90" s="86"/>
      <c r="AC90" s="86"/>
      <c r="AD90" s="86"/>
      <c r="AE90" s="86"/>
      <c r="AF90" s="86"/>
      <c r="AG90" s="86"/>
      <c r="AH90" s="87"/>
      <c r="AI90" s="87"/>
      <c r="AJ90" s="87"/>
      <c r="AK90" s="87"/>
      <c r="AL90" s="87"/>
      <c r="AM90" s="87"/>
      <c r="AN90" s="87"/>
      <c r="AO90" s="87"/>
      <c r="AP90" s="87"/>
      <c r="AQ90" s="87"/>
      <c r="AR90" s="87"/>
      <c r="AS90" s="87"/>
      <c r="AT90" s="87"/>
      <c r="AU90" s="87"/>
      <c r="AV90" s="87"/>
      <c r="AW90" s="87"/>
      <c r="AX90" s="87"/>
      <c r="AY90" s="88"/>
      <c r="AZ90" s="88"/>
      <c r="BA90" s="88"/>
      <c r="BB90" s="89"/>
    </row>
    <row r="91" spans="1:54" x14ac:dyDescent="0.3">
      <c r="A91" s="50"/>
      <c r="B91" s="50"/>
      <c r="C91" s="50"/>
      <c r="D91" s="50"/>
      <c r="E91" s="50"/>
      <c r="F91" s="50"/>
      <c r="G91" s="50"/>
      <c r="H91" s="51"/>
      <c r="I91" s="51"/>
      <c r="J91" s="51"/>
      <c r="K91" s="51"/>
      <c r="L91" s="51"/>
      <c r="M91" s="51"/>
      <c r="N91" s="51"/>
      <c r="O91" s="51"/>
      <c r="P91" s="51"/>
      <c r="Q91" s="51"/>
      <c r="R91" s="51"/>
      <c r="S91" s="51"/>
      <c r="T91" s="51"/>
      <c r="U91" s="51"/>
      <c r="V91" s="51"/>
      <c r="W91" s="51"/>
      <c r="AB91" s="86"/>
      <c r="AC91" s="86"/>
      <c r="AD91" s="86"/>
      <c r="AE91" s="86"/>
      <c r="AF91" s="86"/>
      <c r="AG91" s="86"/>
      <c r="AH91" s="87"/>
      <c r="AI91" s="87"/>
      <c r="AJ91" s="87"/>
      <c r="AK91" s="87"/>
      <c r="AL91" s="87"/>
      <c r="AM91" s="87"/>
      <c r="AN91" s="87"/>
      <c r="AO91" s="87"/>
      <c r="AP91" s="87"/>
      <c r="AQ91" s="87"/>
      <c r="AR91" s="87"/>
      <c r="AS91" s="87"/>
      <c r="AT91" s="87"/>
      <c r="AU91" s="87"/>
      <c r="AV91" s="87"/>
      <c r="AW91" s="87"/>
      <c r="AX91" s="87"/>
      <c r="AY91" s="88"/>
      <c r="AZ91" s="88"/>
      <c r="BA91" s="88"/>
      <c r="BB91" s="89"/>
    </row>
    <row r="92" spans="1:54" x14ac:dyDescent="0.3">
      <c r="A92" s="50"/>
      <c r="B92" s="50"/>
      <c r="C92" s="50"/>
      <c r="D92" s="50"/>
      <c r="E92" s="50"/>
      <c r="F92" s="50" t="s">
        <v>134</v>
      </c>
      <c r="G92" s="50"/>
      <c r="H92" s="51"/>
      <c r="I92" s="51"/>
      <c r="J92" s="51"/>
      <c r="K92" s="51"/>
      <c r="L92" s="51"/>
      <c r="M92" s="51"/>
      <c r="N92" s="51"/>
      <c r="O92" s="51"/>
      <c r="P92" s="51"/>
      <c r="Q92" s="51"/>
      <c r="R92" s="51"/>
      <c r="S92" s="51"/>
      <c r="T92" s="51"/>
      <c r="U92" s="51"/>
      <c r="V92" s="51"/>
      <c r="W92" s="51"/>
      <c r="AB92" s="86"/>
      <c r="AC92" s="86"/>
      <c r="AD92" s="86"/>
      <c r="AE92" s="86"/>
      <c r="AF92" s="86" t="s">
        <v>134</v>
      </c>
      <c r="AG92" s="86"/>
      <c r="AH92" s="87"/>
      <c r="AI92" s="87"/>
      <c r="AJ92" s="87"/>
      <c r="AK92" s="87"/>
      <c r="AL92" s="87"/>
      <c r="AM92" s="87"/>
      <c r="AN92" s="87"/>
      <c r="AO92" s="87"/>
      <c r="AP92" s="87"/>
      <c r="AQ92" s="87"/>
      <c r="AR92" s="87"/>
      <c r="AS92" s="87"/>
      <c r="AT92" s="87"/>
      <c r="AU92" s="87"/>
      <c r="AV92" s="87"/>
      <c r="AW92" s="87"/>
      <c r="AX92" s="87"/>
      <c r="AY92" s="88"/>
      <c r="AZ92" s="88"/>
      <c r="BA92" s="88"/>
      <c r="BB92" s="89"/>
    </row>
    <row r="93" spans="1:54" x14ac:dyDescent="0.3">
      <c r="A93" s="50"/>
      <c r="B93" s="50"/>
      <c r="C93" s="50"/>
      <c r="D93" s="50"/>
      <c r="E93" s="50"/>
      <c r="F93" s="50"/>
      <c r="G93" s="50" t="s">
        <v>135</v>
      </c>
      <c r="H93" s="51">
        <v>0</v>
      </c>
      <c r="I93" s="51">
        <v>750</v>
      </c>
      <c r="J93" s="51">
        <v>750</v>
      </c>
      <c r="K93" s="51">
        <v>750</v>
      </c>
      <c r="L93" s="51">
        <v>600</v>
      </c>
      <c r="M93" s="51">
        <v>600</v>
      </c>
      <c r="N93" s="51">
        <v>0</v>
      </c>
      <c r="O93" s="51">
        <v>750</v>
      </c>
      <c r="P93" s="51">
        <v>600</v>
      </c>
      <c r="Q93" s="51">
        <v>750</v>
      </c>
      <c r="R93" s="51">
        <v>750</v>
      </c>
      <c r="S93" s="51">
        <v>1500</v>
      </c>
      <c r="T93" s="51"/>
      <c r="U93" s="51">
        <f t="shared" ref="U93:U124" si="34">ROUND(SUM(H93:T93),5)</f>
        <v>7800</v>
      </c>
      <c r="V93" s="67">
        <v>11250</v>
      </c>
      <c r="W93" s="67">
        <v>11250</v>
      </c>
      <c r="X93" s="68" t="s">
        <v>246</v>
      </c>
      <c r="AB93" s="86"/>
      <c r="AC93" s="86"/>
      <c r="AD93" s="86"/>
      <c r="AE93" s="86"/>
      <c r="AF93" s="86"/>
      <c r="AG93" s="86" t="s">
        <v>135</v>
      </c>
      <c r="AH93" s="87"/>
      <c r="AI93" s="87"/>
      <c r="AJ93" s="87"/>
      <c r="AK93" s="87"/>
      <c r="AL93" s="87">
        <v>0</v>
      </c>
      <c r="AM93" s="87">
        <v>750</v>
      </c>
      <c r="AN93" s="87">
        <v>750</v>
      </c>
      <c r="AO93" s="87">
        <v>1500</v>
      </c>
      <c r="AP93" s="87">
        <v>0</v>
      </c>
      <c r="AQ93" s="87">
        <v>750</v>
      </c>
      <c r="AR93" s="87">
        <v>0</v>
      </c>
      <c r="AS93" s="87">
        <v>750</v>
      </c>
      <c r="AT93" s="87">
        <v>750</v>
      </c>
      <c r="AU93" s="87">
        <v>1500</v>
      </c>
      <c r="AV93" s="87">
        <v>0</v>
      </c>
      <c r="AW93" s="87">
        <v>1500</v>
      </c>
      <c r="AX93" s="87"/>
      <c r="AY93" s="88">
        <f t="shared" ref="AY93:AY124" si="35">ROUND(SUM(AH93:AX93),5)</f>
        <v>8250</v>
      </c>
      <c r="AZ93" s="88">
        <v>10500</v>
      </c>
      <c r="BA93" s="88">
        <v>11250</v>
      </c>
      <c r="BB93" s="89" t="s">
        <v>246</v>
      </c>
    </row>
    <row r="94" spans="1:54" x14ac:dyDescent="0.3">
      <c r="A94" s="50"/>
      <c r="B94" s="50"/>
      <c r="C94" s="50"/>
      <c r="D94" s="50"/>
      <c r="E94" s="50"/>
      <c r="F94" s="50"/>
      <c r="G94" s="50" t="s">
        <v>136</v>
      </c>
      <c r="H94" s="51">
        <v>258.55</v>
      </c>
      <c r="I94" s="51">
        <v>206.84</v>
      </c>
      <c r="J94" s="51">
        <v>0</v>
      </c>
      <c r="K94" s="51">
        <v>210.34</v>
      </c>
      <c r="L94" s="51">
        <v>332.12</v>
      </c>
      <c r="M94" s="51">
        <v>403.48</v>
      </c>
      <c r="N94" s="51">
        <v>405.04</v>
      </c>
      <c r="O94" s="51">
        <v>200.52</v>
      </c>
      <c r="P94" s="51">
        <v>131.38999999999999</v>
      </c>
      <c r="Q94" s="51">
        <v>454.67</v>
      </c>
      <c r="R94" s="51">
        <v>340.52</v>
      </c>
      <c r="S94" s="51">
        <v>250</v>
      </c>
      <c r="T94" s="51"/>
      <c r="U94" s="51">
        <f t="shared" si="34"/>
        <v>3193.47</v>
      </c>
      <c r="V94" s="67">
        <v>3600</v>
      </c>
      <c r="W94" s="67">
        <v>3600</v>
      </c>
      <c r="AB94" s="86"/>
      <c r="AC94" s="86"/>
      <c r="AD94" s="86"/>
      <c r="AE94" s="86"/>
      <c r="AF94" s="86"/>
      <c r="AG94" s="86" t="s">
        <v>136</v>
      </c>
      <c r="AH94" s="87"/>
      <c r="AI94" s="87"/>
      <c r="AJ94" s="87"/>
      <c r="AK94" s="87"/>
      <c r="AL94" s="87">
        <v>343.33</v>
      </c>
      <c r="AM94" s="87">
        <v>145.52000000000001</v>
      </c>
      <c r="AN94" s="87">
        <v>48.86</v>
      </c>
      <c r="AO94" s="87">
        <v>178.2</v>
      </c>
      <c r="AP94" s="87">
        <v>34.76</v>
      </c>
      <c r="AQ94" s="87">
        <v>320.76</v>
      </c>
      <c r="AR94" s="87">
        <v>60.83</v>
      </c>
      <c r="AS94" s="87">
        <v>0</v>
      </c>
      <c r="AT94" s="87">
        <v>438.46</v>
      </c>
      <c r="AU94" s="87">
        <v>295.25</v>
      </c>
      <c r="AV94" s="87">
        <v>422.36</v>
      </c>
      <c r="AW94" s="87">
        <v>0</v>
      </c>
      <c r="AX94" s="87"/>
      <c r="AY94" s="88">
        <f t="shared" si="35"/>
        <v>2288.33</v>
      </c>
      <c r="AZ94" s="88">
        <v>3100</v>
      </c>
      <c r="BA94" s="88">
        <v>3600</v>
      </c>
      <c r="BB94" s="89" t="s">
        <v>250</v>
      </c>
    </row>
    <row r="95" spans="1:54" x14ac:dyDescent="0.3">
      <c r="A95" s="50"/>
      <c r="B95" s="50"/>
      <c r="C95" s="50"/>
      <c r="D95" s="50"/>
      <c r="E95" s="50"/>
      <c r="F95" s="50"/>
      <c r="G95" s="50" t="s">
        <v>137</v>
      </c>
      <c r="H95" s="51">
        <v>0</v>
      </c>
      <c r="I95" s="51">
        <v>260.75</v>
      </c>
      <c r="J95" s="51">
        <v>0</v>
      </c>
      <c r="K95" s="51">
        <v>260.63</v>
      </c>
      <c r="L95" s="51">
        <v>551.49</v>
      </c>
      <c r="M95" s="51">
        <v>0</v>
      </c>
      <c r="N95" s="51">
        <v>470.42</v>
      </c>
      <c r="O95" s="51">
        <v>210.39</v>
      </c>
      <c r="P95" s="51">
        <v>210.39</v>
      </c>
      <c r="Q95" s="51">
        <v>420.66</v>
      </c>
      <c r="R95" s="51">
        <v>0</v>
      </c>
      <c r="S95" s="51">
        <v>512.9</v>
      </c>
      <c r="T95" s="51"/>
      <c r="U95" s="51">
        <f t="shared" si="34"/>
        <v>2897.63</v>
      </c>
      <c r="V95" s="67">
        <v>3300</v>
      </c>
      <c r="W95" s="67">
        <v>3300</v>
      </c>
      <c r="AB95" s="86"/>
      <c r="AC95" s="86"/>
      <c r="AD95" s="86"/>
      <c r="AE95" s="86"/>
      <c r="AF95" s="86"/>
      <c r="AG95" s="86" t="s">
        <v>137</v>
      </c>
      <c r="AH95" s="87"/>
      <c r="AI95" s="87"/>
      <c r="AJ95" s="87"/>
      <c r="AK95" s="87"/>
      <c r="AL95" s="87">
        <v>241.34</v>
      </c>
      <c r="AM95" s="87">
        <v>372.18</v>
      </c>
      <c r="AN95" s="87">
        <v>296.32</v>
      </c>
      <c r="AO95" s="87">
        <v>0</v>
      </c>
      <c r="AP95" s="87">
        <v>517.34</v>
      </c>
      <c r="AQ95" s="87">
        <v>256.20999999999998</v>
      </c>
      <c r="AR95" s="87">
        <v>256.41000000000003</v>
      </c>
      <c r="AS95" s="87">
        <v>256.41000000000003</v>
      </c>
      <c r="AT95" s="87">
        <v>256.41000000000003</v>
      </c>
      <c r="AU95" s="87">
        <v>256.47000000000003</v>
      </c>
      <c r="AV95" s="87">
        <v>240.82</v>
      </c>
      <c r="AW95" s="87">
        <v>240.82</v>
      </c>
      <c r="AX95" s="87"/>
      <c r="AY95" s="88">
        <f t="shared" si="35"/>
        <v>3190.73</v>
      </c>
      <c r="AZ95" s="88">
        <v>3900</v>
      </c>
      <c r="BA95" s="88">
        <v>3300</v>
      </c>
      <c r="BB95" s="89"/>
    </row>
    <row r="96" spans="1:54" ht="13.8" customHeight="1" x14ac:dyDescent="0.3">
      <c r="A96" s="50"/>
      <c r="B96" s="50"/>
      <c r="C96" s="50"/>
      <c r="D96" s="50"/>
      <c r="E96" s="50"/>
      <c r="F96" s="50"/>
      <c r="G96" s="50" t="s">
        <v>138</v>
      </c>
      <c r="H96" s="51">
        <v>0</v>
      </c>
      <c r="I96" s="51">
        <v>0</v>
      </c>
      <c r="J96" s="51">
        <v>0</v>
      </c>
      <c r="K96" s="51">
        <v>0</v>
      </c>
      <c r="L96" s="51">
        <v>0</v>
      </c>
      <c r="M96" s="51">
        <v>0</v>
      </c>
      <c r="N96" s="51">
        <v>0</v>
      </c>
      <c r="O96" s="51">
        <v>0</v>
      </c>
      <c r="P96" s="51">
        <v>0</v>
      </c>
      <c r="Q96" s="51">
        <v>0</v>
      </c>
      <c r="R96" s="51">
        <v>0</v>
      </c>
      <c r="S96" s="51">
        <v>0</v>
      </c>
      <c r="T96" s="51"/>
      <c r="U96" s="51">
        <f t="shared" si="34"/>
        <v>0</v>
      </c>
      <c r="V96" s="67">
        <v>0</v>
      </c>
      <c r="W96" s="67">
        <v>1200</v>
      </c>
      <c r="X96" s="68" t="s">
        <v>295</v>
      </c>
      <c r="AB96" s="86"/>
      <c r="AC96" s="86"/>
      <c r="AD96" s="86"/>
      <c r="AE96" s="86"/>
      <c r="AF96" s="86"/>
      <c r="AG96" s="86" t="s">
        <v>138</v>
      </c>
      <c r="AH96" s="87"/>
      <c r="AI96" s="87"/>
      <c r="AJ96" s="87"/>
      <c r="AK96" s="87"/>
      <c r="AL96" s="87">
        <v>0</v>
      </c>
      <c r="AM96" s="87">
        <v>0</v>
      </c>
      <c r="AN96" s="87">
        <v>0</v>
      </c>
      <c r="AO96" s="87">
        <v>0</v>
      </c>
      <c r="AP96" s="87">
        <v>0</v>
      </c>
      <c r="AQ96" s="87">
        <v>0</v>
      </c>
      <c r="AR96" s="87">
        <v>0</v>
      </c>
      <c r="AS96" s="87">
        <v>0</v>
      </c>
      <c r="AT96" s="87">
        <v>0</v>
      </c>
      <c r="AU96" s="87">
        <v>0</v>
      </c>
      <c r="AV96" s="87">
        <v>0</v>
      </c>
      <c r="AW96" s="87">
        <v>0</v>
      </c>
      <c r="AX96" s="87"/>
      <c r="AY96" s="88">
        <f t="shared" si="35"/>
        <v>0</v>
      </c>
      <c r="AZ96" s="88">
        <v>1100</v>
      </c>
      <c r="BA96" s="88">
        <v>0</v>
      </c>
      <c r="BB96" s="89" t="s">
        <v>248</v>
      </c>
    </row>
    <row r="97" spans="1:54" x14ac:dyDescent="0.3">
      <c r="A97" s="50"/>
      <c r="B97" s="50"/>
      <c r="C97" s="50"/>
      <c r="D97" s="50"/>
      <c r="E97" s="50"/>
      <c r="F97" s="50"/>
      <c r="G97" s="50" t="s">
        <v>139</v>
      </c>
      <c r="H97" s="51">
        <v>1321.74</v>
      </c>
      <c r="I97" s="51">
        <v>1321.74</v>
      </c>
      <c r="J97" s="51">
        <v>1321.74</v>
      </c>
      <c r="K97" s="51">
        <v>1321.74</v>
      </c>
      <c r="L97" s="51">
        <v>1371.24</v>
      </c>
      <c r="M97" s="51">
        <v>1371.24</v>
      </c>
      <c r="N97" s="51">
        <v>1371.24</v>
      </c>
      <c r="O97" s="51">
        <v>1371.24</v>
      </c>
      <c r="P97" s="51">
        <v>1371.24</v>
      </c>
      <c r="Q97" s="51">
        <v>1424.65</v>
      </c>
      <c r="R97" s="51">
        <v>1371.24</v>
      </c>
      <c r="S97" s="51">
        <v>1371.24</v>
      </c>
      <c r="T97" s="51"/>
      <c r="U97" s="51">
        <f t="shared" si="34"/>
        <v>16310.29</v>
      </c>
      <c r="V97" s="67">
        <v>15900</v>
      </c>
      <c r="W97" s="67">
        <v>20500</v>
      </c>
      <c r="X97" s="68" t="s">
        <v>302</v>
      </c>
      <c r="AB97" s="86"/>
      <c r="AC97" s="86"/>
      <c r="AD97" s="86"/>
      <c r="AE97" s="86"/>
      <c r="AF97" s="86"/>
      <c r="AG97" s="86" t="s">
        <v>139</v>
      </c>
      <c r="AH97" s="87"/>
      <c r="AI97" s="87"/>
      <c r="AJ97" s="87"/>
      <c r="AK97" s="87"/>
      <c r="AL97" s="87">
        <v>1196.9100000000001</v>
      </c>
      <c r="AM97" s="87">
        <v>1196.9100000000001</v>
      </c>
      <c r="AN97" s="87">
        <v>1196.9100000000001</v>
      </c>
      <c r="AO97" s="87">
        <v>1196.9100000000001</v>
      </c>
      <c r="AP97" s="87">
        <v>1196.9100000000001</v>
      </c>
      <c r="AQ97" s="87">
        <v>1196.9100000000001</v>
      </c>
      <c r="AR97" s="87">
        <v>1196.9100000000001</v>
      </c>
      <c r="AS97" s="87">
        <v>1196.9100000000001</v>
      </c>
      <c r="AT97" s="87">
        <v>1196.9100000000001</v>
      </c>
      <c r="AU97" s="87">
        <v>1196.9100000000001</v>
      </c>
      <c r="AV97" s="87">
        <v>1196.9100000000001</v>
      </c>
      <c r="AW97" s="87">
        <v>1196.9100000000001</v>
      </c>
      <c r="AX97" s="87"/>
      <c r="AY97" s="88">
        <f t="shared" si="35"/>
        <v>14362.92</v>
      </c>
      <c r="AZ97" s="88">
        <v>14400</v>
      </c>
      <c r="BA97" s="88">
        <v>15900</v>
      </c>
      <c r="BB97" s="89" t="s">
        <v>255</v>
      </c>
    </row>
    <row r="98" spans="1:54" x14ac:dyDescent="0.3">
      <c r="A98" s="50"/>
      <c r="B98" s="50"/>
      <c r="C98" s="50"/>
      <c r="D98" s="50"/>
      <c r="E98" s="50"/>
      <c r="F98" s="50"/>
      <c r="G98" s="50" t="s">
        <v>140</v>
      </c>
      <c r="H98" s="51">
        <v>0</v>
      </c>
      <c r="I98" s="51">
        <v>120</v>
      </c>
      <c r="J98" s="51">
        <v>0</v>
      </c>
      <c r="K98" s="51">
        <v>2669</v>
      </c>
      <c r="L98" s="51">
        <v>284</v>
      </c>
      <c r="M98" s="51">
        <v>0</v>
      </c>
      <c r="N98" s="51">
        <v>0</v>
      </c>
      <c r="O98" s="51">
        <v>175</v>
      </c>
      <c r="P98" s="51">
        <v>0</v>
      </c>
      <c r="Q98" s="51">
        <v>300</v>
      </c>
      <c r="R98" s="51">
        <v>0</v>
      </c>
      <c r="S98" s="51">
        <v>0</v>
      </c>
      <c r="T98" s="51"/>
      <c r="U98" s="51">
        <f t="shared" si="34"/>
        <v>3548</v>
      </c>
      <c r="V98" s="67">
        <v>2600</v>
      </c>
      <c r="W98" s="67">
        <v>3600</v>
      </c>
      <c r="X98" s="68" t="s">
        <v>258</v>
      </c>
      <c r="AB98" s="86"/>
      <c r="AC98" s="86"/>
      <c r="AD98" s="86"/>
      <c r="AE98" s="86"/>
      <c r="AF98" s="86"/>
      <c r="AG98" s="86" t="s">
        <v>140</v>
      </c>
      <c r="AH98" s="87"/>
      <c r="AI98" s="87"/>
      <c r="AJ98" s="87"/>
      <c r="AK98" s="87"/>
      <c r="AL98" s="87">
        <v>120</v>
      </c>
      <c r="AM98" s="87">
        <v>75</v>
      </c>
      <c r="AN98" s="87">
        <v>0</v>
      </c>
      <c r="AO98" s="87">
        <v>0</v>
      </c>
      <c r="AP98" s="87">
        <v>395</v>
      </c>
      <c r="AQ98" s="87">
        <v>1230</v>
      </c>
      <c r="AR98" s="87">
        <v>584</v>
      </c>
      <c r="AS98" s="87">
        <v>0</v>
      </c>
      <c r="AT98" s="87">
        <v>0</v>
      </c>
      <c r="AU98" s="87">
        <v>0</v>
      </c>
      <c r="AV98" s="87">
        <v>0</v>
      </c>
      <c r="AW98" s="87">
        <v>0</v>
      </c>
      <c r="AX98" s="87"/>
      <c r="AY98" s="88">
        <f t="shared" si="35"/>
        <v>2404</v>
      </c>
      <c r="AZ98" s="88">
        <v>2600</v>
      </c>
      <c r="BA98" s="88">
        <v>2600</v>
      </c>
      <c r="BB98" s="89"/>
    </row>
    <row r="99" spans="1:54" x14ac:dyDescent="0.3">
      <c r="A99" s="50"/>
      <c r="B99" s="50"/>
      <c r="C99" s="50"/>
      <c r="D99" s="50"/>
      <c r="E99" s="50"/>
      <c r="F99" s="50"/>
      <c r="G99" s="50" t="s">
        <v>141</v>
      </c>
      <c r="H99" s="51">
        <v>16</v>
      </c>
      <c r="I99" s="51">
        <v>16</v>
      </c>
      <c r="J99" s="51">
        <v>16</v>
      </c>
      <c r="K99" s="51">
        <v>16</v>
      </c>
      <c r="L99" s="51">
        <v>31</v>
      </c>
      <c r="M99" s="51">
        <v>16</v>
      </c>
      <c r="N99" s="51">
        <v>16</v>
      </c>
      <c r="O99" s="51">
        <v>26</v>
      </c>
      <c r="P99" s="51">
        <v>16</v>
      </c>
      <c r="Q99" s="51">
        <v>26</v>
      </c>
      <c r="R99" s="51">
        <v>16</v>
      </c>
      <c r="S99" s="51">
        <v>16</v>
      </c>
      <c r="T99" s="51"/>
      <c r="U99" s="51">
        <f t="shared" si="34"/>
        <v>227</v>
      </c>
      <c r="V99" s="67">
        <v>300</v>
      </c>
      <c r="W99" s="67">
        <v>300</v>
      </c>
      <c r="AB99" s="86"/>
      <c r="AC99" s="86"/>
      <c r="AD99" s="86"/>
      <c r="AE99" s="86"/>
      <c r="AF99" s="86"/>
      <c r="AG99" s="86" t="s">
        <v>141</v>
      </c>
      <c r="AH99" s="87"/>
      <c r="AI99" s="87"/>
      <c r="AJ99" s="87"/>
      <c r="AK99" s="87"/>
      <c r="AL99" s="87">
        <v>21</v>
      </c>
      <c r="AM99" s="87">
        <v>21</v>
      </c>
      <c r="AN99" s="87">
        <v>21</v>
      </c>
      <c r="AO99" s="87">
        <v>56</v>
      </c>
      <c r="AP99" s="87">
        <v>21</v>
      </c>
      <c r="AQ99" s="87">
        <v>21</v>
      </c>
      <c r="AR99" s="87">
        <v>21</v>
      </c>
      <c r="AS99" s="87">
        <v>16</v>
      </c>
      <c r="AT99" s="87">
        <v>16</v>
      </c>
      <c r="AU99" s="87">
        <v>16</v>
      </c>
      <c r="AV99" s="87">
        <v>21</v>
      </c>
      <c r="AW99" s="87">
        <v>21</v>
      </c>
      <c r="AX99" s="87"/>
      <c r="AY99" s="88">
        <f t="shared" si="35"/>
        <v>272</v>
      </c>
      <c r="AZ99" s="88">
        <v>800</v>
      </c>
      <c r="BA99" s="88">
        <v>300</v>
      </c>
      <c r="BB99" s="89"/>
    </row>
    <row r="100" spans="1:54" x14ac:dyDescent="0.3">
      <c r="A100" s="50"/>
      <c r="B100" s="50"/>
      <c r="C100" s="50"/>
      <c r="D100" s="50"/>
      <c r="E100" s="50"/>
      <c r="F100" s="50"/>
      <c r="G100" s="50" t="s">
        <v>142</v>
      </c>
      <c r="H100" s="51">
        <v>0</v>
      </c>
      <c r="I100" s="51">
        <v>0</v>
      </c>
      <c r="J100" s="51">
        <v>0</v>
      </c>
      <c r="K100" s="51">
        <v>0</v>
      </c>
      <c r="L100" s="51">
        <v>0</v>
      </c>
      <c r="M100" s="51">
        <v>0</v>
      </c>
      <c r="N100" s="51">
        <v>0</v>
      </c>
      <c r="O100" s="51">
        <v>0</v>
      </c>
      <c r="P100" s="51">
        <v>0</v>
      </c>
      <c r="Q100" s="51">
        <v>149.9</v>
      </c>
      <c r="R100" s="51">
        <v>2.99</v>
      </c>
      <c r="S100" s="51">
        <v>0</v>
      </c>
      <c r="T100" s="51"/>
      <c r="U100" s="51">
        <f t="shared" si="34"/>
        <v>152.88999999999999</v>
      </c>
      <c r="V100" s="67">
        <v>2000</v>
      </c>
      <c r="W100" s="67">
        <v>500</v>
      </c>
      <c r="AB100" s="86"/>
      <c r="AC100" s="86"/>
      <c r="AD100" s="86"/>
      <c r="AE100" s="86"/>
      <c r="AF100" s="86"/>
      <c r="AG100" s="86" t="s">
        <v>142</v>
      </c>
      <c r="AH100" s="87"/>
      <c r="AI100" s="87"/>
      <c r="AJ100" s="87"/>
      <c r="AK100" s="87"/>
      <c r="AL100" s="87">
        <v>0</v>
      </c>
      <c r="AM100" s="87">
        <v>0</v>
      </c>
      <c r="AN100" s="87">
        <v>0</v>
      </c>
      <c r="AO100" s="87">
        <v>0</v>
      </c>
      <c r="AP100" s="87">
        <v>837.34</v>
      </c>
      <c r="AQ100" s="87">
        <v>0</v>
      </c>
      <c r="AR100" s="87">
        <v>0</v>
      </c>
      <c r="AS100" s="87">
        <v>0</v>
      </c>
      <c r="AT100" s="87">
        <v>0</v>
      </c>
      <c r="AU100" s="87">
        <v>0</v>
      </c>
      <c r="AV100" s="87">
        <v>0</v>
      </c>
      <c r="AW100" s="87">
        <v>1850</v>
      </c>
      <c r="AX100" s="87"/>
      <c r="AY100" s="88">
        <f t="shared" si="35"/>
        <v>2687.34</v>
      </c>
      <c r="AZ100" s="88">
        <v>1500</v>
      </c>
      <c r="BA100" s="88">
        <v>2000</v>
      </c>
      <c r="BB100" s="89" t="s">
        <v>258</v>
      </c>
    </row>
    <row r="101" spans="1:54" x14ac:dyDescent="0.3">
      <c r="A101" s="50"/>
      <c r="B101" s="50"/>
      <c r="C101" s="50"/>
      <c r="D101" s="50"/>
      <c r="E101" s="50"/>
      <c r="F101" s="50"/>
      <c r="G101" s="50" t="s">
        <v>143</v>
      </c>
      <c r="H101" s="51">
        <v>2.99</v>
      </c>
      <c r="I101" s="51">
        <v>356.44</v>
      </c>
      <c r="J101" s="51">
        <v>356.92</v>
      </c>
      <c r="K101" s="51">
        <v>356.92</v>
      </c>
      <c r="L101" s="51">
        <v>848.03</v>
      </c>
      <c r="M101" s="51">
        <v>497.98</v>
      </c>
      <c r="N101" s="51">
        <v>354.64</v>
      </c>
      <c r="O101" s="51">
        <v>371.91</v>
      </c>
      <c r="P101" s="51">
        <v>815.47</v>
      </c>
      <c r="Q101" s="51">
        <v>374.57</v>
      </c>
      <c r="R101" s="51">
        <v>0</v>
      </c>
      <c r="S101" s="51">
        <v>566.09</v>
      </c>
      <c r="T101" s="51"/>
      <c r="U101" s="51">
        <f t="shared" si="34"/>
        <v>4901.96</v>
      </c>
      <c r="V101" s="67">
        <v>7000</v>
      </c>
      <c r="W101" s="67">
        <v>7000</v>
      </c>
      <c r="AB101" s="86"/>
      <c r="AC101" s="86"/>
      <c r="AD101" s="86"/>
      <c r="AE101" s="86"/>
      <c r="AF101" s="86"/>
      <c r="AG101" s="86" t="s">
        <v>143</v>
      </c>
      <c r="AH101" s="87"/>
      <c r="AI101" s="87"/>
      <c r="AJ101" s="87"/>
      <c r="AK101" s="87"/>
      <c r="AL101" s="87">
        <v>2.99</v>
      </c>
      <c r="AM101" s="87">
        <v>488.86</v>
      </c>
      <c r="AN101" s="87">
        <v>346.22</v>
      </c>
      <c r="AO101" s="87">
        <v>418.45</v>
      </c>
      <c r="AP101" s="87">
        <v>349.26</v>
      </c>
      <c r="AQ101" s="87">
        <v>350.07</v>
      </c>
      <c r="AR101" s="87">
        <v>620.41999999999996</v>
      </c>
      <c r="AS101" s="87">
        <v>349.84</v>
      </c>
      <c r="AT101" s="87">
        <v>350.02</v>
      </c>
      <c r="AU101" s="87">
        <v>496.21</v>
      </c>
      <c r="AV101" s="87">
        <v>887.43</v>
      </c>
      <c r="AW101" s="87">
        <v>361.82</v>
      </c>
      <c r="AX101" s="87"/>
      <c r="AY101" s="88">
        <f t="shared" si="35"/>
        <v>5021.59</v>
      </c>
      <c r="AZ101" s="88">
        <v>7000</v>
      </c>
      <c r="BA101" s="88">
        <v>7000</v>
      </c>
      <c r="BB101" s="89"/>
    </row>
    <row r="102" spans="1:54" x14ac:dyDescent="0.3">
      <c r="A102" s="50"/>
      <c r="B102" s="50"/>
      <c r="C102" s="50"/>
      <c r="D102" s="50"/>
      <c r="E102" s="50"/>
      <c r="F102" s="50"/>
      <c r="G102" s="50" t="s">
        <v>144</v>
      </c>
      <c r="H102" s="51">
        <v>0</v>
      </c>
      <c r="I102" s="51">
        <v>0</v>
      </c>
      <c r="J102" s="51">
        <v>0</v>
      </c>
      <c r="K102" s="51">
        <v>0</v>
      </c>
      <c r="L102" s="51">
        <v>0</v>
      </c>
      <c r="M102" s="51">
        <v>0</v>
      </c>
      <c r="N102" s="51">
        <v>418.65</v>
      </c>
      <c r="O102" s="51">
        <v>0</v>
      </c>
      <c r="P102" s="51">
        <v>270.52</v>
      </c>
      <c r="Q102" s="51">
        <v>0</v>
      </c>
      <c r="R102" s="51">
        <v>0</v>
      </c>
      <c r="S102" s="51">
        <v>0</v>
      </c>
      <c r="T102" s="51"/>
      <c r="U102" s="51">
        <f t="shared" si="34"/>
        <v>689.17</v>
      </c>
      <c r="V102" s="67">
        <v>0</v>
      </c>
      <c r="W102" s="67">
        <v>1000</v>
      </c>
      <c r="X102" s="68" t="s">
        <v>296</v>
      </c>
      <c r="AB102" s="86"/>
      <c r="AC102" s="86"/>
      <c r="AD102" s="86"/>
      <c r="AE102" s="86"/>
      <c r="AF102" s="86"/>
      <c r="AG102" s="86" t="s">
        <v>144</v>
      </c>
      <c r="AH102" s="87"/>
      <c r="AI102" s="87"/>
      <c r="AJ102" s="87"/>
      <c r="AK102" s="87"/>
      <c r="AL102" s="87">
        <v>0</v>
      </c>
      <c r="AM102" s="87">
        <v>0</v>
      </c>
      <c r="AN102" s="87">
        <v>0</v>
      </c>
      <c r="AO102" s="87">
        <v>0</v>
      </c>
      <c r="AP102" s="87">
        <v>0</v>
      </c>
      <c r="AQ102" s="87">
        <v>0</v>
      </c>
      <c r="AR102" s="87">
        <v>0</v>
      </c>
      <c r="AS102" s="87">
        <v>0</v>
      </c>
      <c r="AT102" s="87">
        <v>0</v>
      </c>
      <c r="AU102" s="87">
        <v>0</v>
      </c>
      <c r="AV102" s="87">
        <v>0</v>
      </c>
      <c r="AW102" s="87">
        <v>0</v>
      </c>
      <c r="AX102" s="87"/>
      <c r="AY102" s="88">
        <f t="shared" si="35"/>
        <v>0</v>
      </c>
      <c r="AZ102" s="88">
        <v>1200</v>
      </c>
      <c r="BA102" s="88">
        <v>0</v>
      </c>
      <c r="BB102" s="89" t="s">
        <v>248</v>
      </c>
    </row>
    <row r="103" spans="1:54" x14ac:dyDescent="0.3">
      <c r="A103" s="50"/>
      <c r="B103" s="50"/>
      <c r="C103" s="50"/>
      <c r="D103" s="50"/>
      <c r="E103" s="50"/>
      <c r="F103" s="50"/>
      <c r="G103" s="50" t="s">
        <v>145</v>
      </c>
      <c r="H103" s="51">
        <v>364.31</v>
      </c>
      <c r="I103" s="51">
        <v>41.55</v>
      </c>
      <c r="J103" s="51">
        <v>778.44</v>
      </c>
      <c r="K103" s="51">
        <v>71.599999999999994</v>
      </c>
      <c r="L103" s="51">
        <v>0</v>
      </c>
      <c r="M103" s="51">
        <v>601.58000000000004</v>
      </c>
      <c r="N103" s="51">
        <v>0</v>
      </c>
      <c r="O103" s="51">
        <v>0</v>
      </c>
      <c r="P103" s="51">
        <v>411.56</v>
      </c>
      <c r="Q103" s="51">
        <v>137.16999999999999</v>
      </c>
      <c r="R103" s="51">
        <v>0</v>
      </c>
      <c r="S103" s="51">
        <v>134.16</v>
      </c>
      <c r="T103" s="51"/>
      <c r="U103" s="51">
        <f t="shared" si="34"/>
        <v>2540.37</v>
      </c>
      <c r="V103" s="67">
        <v>3000</v>
      </c>
      <c r="W103" s="67">
        <v>3000</v>
      </c>
      <c r="AB103" s="86"/>
      <c r="AC103" s="86"/>
      <c r="AD103" s="86"/>
      <c r="AE103" s="86"/>
      <c r="AF103" s="86"/>
      <c r="AG103" s="86" t="s">
        <v>145</v>
      </c>
      <c r="AH103" s="87"/>
      <c r="AI103" s="87"/>
      <c r="AJ103" s="87"/>
      <c r="AK103" s="87"/>
      <c r="AL103" s="87">
        <v>195.95</v>
      </c>
      <c r="AM103" s="87">
        <v>275.38</v>
      </c>
      <c r="AN103" s="87">
        <v>60.79</v>
      </c>
      <c r="AO103" s="87">
        <v>107.39</v>
      </c>
      <c r="AP103" s="87">
        <v>191.56</v>
      </c>
      <c r="AQ103" s="87">
        <v>69.58</v>
      </c>
      <c r="AR103" s="87">
        <v>0</v>
      </c>
      <c r="AS103" s="87">
        <v>89.08</v>
      </c>
      <c r="AT103" s="87">
        <v>113.48</v>
      </c>
      <c r="AU103" s="87">
        <v>162.65</v>
      </c>
      <c r="AV103" s="87">
        <v>59.88</v>
      </c>
      <c r="AW103" s="87">
        <v>17.399999999999999</v>
      </c>
      <c r="AX103" s="87"/>
      <c r="AY103" s="88">
        <f t="shared" si="35"/>
        <v>1343.14</v>
      </c>
      <c r="AZ103" s="88">
        <v>3000</v>
      </c>
      <c r="BA103" s="88">
        <v>3000</v>
      </c>
      <c r="BB103" s="89"/>
    </row>
    <row r="104" spans="1:54" x14ac:dyDescent="0.3">
      <c r="A104" s="50"/>
      <c r="B104" s="50"/>
      <c r="C104" s="50"/>
      <c r="D104" s="50"/>
      <c r="E104" s="50"/>
      <c r="F104" s="50"/>
      <c r="G104" s="50" t="s">
        <v>146</v>
      </c>
      <c r="H104" s="51">
        <v>0</v>
      </c>
      <c r="I104" s="51">
        <v>0</v>
      </c>
      <c r="J104" s="51">
        <v>160.51</v>
      </c>
      <c r="K104" s="51">
        <v>232</v>
      </c>
      <c r="L104" s="51">
        <v>0</v>
      </c>
      <c r="M104" s="51">
        <v>0</v>
      </c>
      <c r="N104" s="51">
        <v>0</v>
      </c>
      <c r="O104" s="51">
        <v>0</v>
      </c>
      <c r="P104" s="51">
        <v>0</v>
      </c>
      <c r="Q104" s="51">
        <v>232</v>
      </c>
      <c r="R104" s="51">
        <v>0</v>
      </c>
      <c r="S104" s="51">
        <v>245</v>
      </c>
      <c r="T104" s="51"/>
      <c r="U104" s="51">
        <f t="shared" si="34"/>
        <v>869.51</v>
      </c>
      <c r="V104" s="67">
        <v>1000</v>
      </c>
      <c r="W104" s="67">
        <v>1000</v>
      </c>
      <c r="AB104" s="86"/>
      <c r="AC104" s="86"/>
      <c r="AD104" s="86"/>
      <c r="AE104" s="86"/>
      <c r="AF104" s="86"/>
      <c r="AG104" s="86" t="s">
        <v>146</v>
      </c>
      <c r="AH104" s="87"/>
      <c r="AI104" s="87"/>
      <c r="AJ104" s="87"/>
      <c r="AK104" s="87"/>
      <c r="AL104" s="87">
        <v>110</v>
      </c>
      <c r="AM104" s="87">
        <v>0</v>
      </c>
      <c r="AN104" s="87">
        <v>136.35</v>
      </c>
      <c r="AO104" s="87">
        <v>0</v>
      </c>
      <c r="AP104" s="87">
        <v>0</v>
      </c>
      <c r="AQ104" s="87">
        <v>0</v>
      </c>
      <c r="AR104" s="87">
        <v>220</v>
      </c>
      <c r="AS104" s="87">
        <v>0</v>
      </c>
      <c r="AT104" s="87">
        <v>0</v>
      </c>
      <c r="AU104" s="87">
        <v>44.39</v>
      </c>
      <c r="AV104" s="87">
        <v>0</v>
      </c>
      <c r="AW104" s="87">
        <v>240</v>
      </c>
      <c r="AX104" s="87"/>
      <c r="AY104" s="88">
        <f t="shared" si="35"/>
        <v>750.74</v>
      </c>
      <c r="AZ104" s="88">
        <v>1000</v>
      </c>
      <c r="BA104" s="88">
        <v>1000</v>
      </c>
      <c r="BB104" s="89"/>
    </row>
    <row r="105" spans="1:54" x14ac:dyDescent="0.3">
      <c r="A105" s="50"/>
      <c r="B105" s="50"/>
      <c r="C105" s="50"/>
      <c r="D105" s="50"/>
      <c r="E105" s="50"/>
      <c r="F105" s="50"/>
      <c r="G105" s="50" t="s">
        <v>147</v>
      </c>
      <c r="H105" s="51">
        <v>0</v>
      </c>
      <c r="I105" s="51">
        <v>0</v>
      </c>
      <c r="J105" s="51">
        <v>0</v>
      </c>
      <c r="K105" s="51">
        <v>0</v>
      </c>
      <c r="L105" s="51">
        <v>803.32</v>
      </c>
      <c r="M105" s="51">
        <v>0</v>
      </c>
      <c r="N105" s="51">
        <v>0</v>
      </c>
      <c r="O105" s="51">
        <v>0</v>
      </c>
      <c r="P105" s="51">
        <v>5.98</v>
      </c>
      <c r="Q105" s="51">
        <v>0</v>
      </c>
      <c r="R105" s="51">
        <v>0</v>
      </c>
      <c r="S105" s="51">
        <v>369.97</v>
      </c>
      <c r="T105" s="51"/>
      <c r="U105" s="51">
        <f t="shared" si="34"/>
        <v>1179.27</v>
      </c>
      <c r="V105" s="67">
        <v>2500</v>
      </c>
      <c r="W105" s="67">
        <v>2500</v>
      </c>
      <c r="AB105" s="86"/>
      <c r="AC105" s="86"/>
      <c r="AD105" s="86"/>
      <c r="AE105" s="86"/>
      <c r="AF105" s="86"/>
      <c r="AG105" s="86" t="s">
        <v>147</v>
      </c>
      <c r="AH105" s="87"/>
      <c r="AI105" s="87"/>
      <c r="AJ105" s="87"/>
      <c r="AK105" s="87"/>
      <c r="AL105" s="87">
        <v>42.34</v>
      </c>
      <c r="AM105" s="87">
        <v>0</v>
      </c>
      <c r="AN105" s="87">
        <v>0</v>
      </c>
      <c r="AO105" s="87">
        <v>0</v>
      </c>
      <c r="AP105" s="87">
        <v>0</v>
      </c>
      <c r="AQ105" s="87">
        <v>0</v>
      </c>
      <c r="AR105" s="87">
        <v>0</v>
      </c>
      <c r="AS105" s="87">
        <v>0</v>
      </c>
      <c r="AT105" s="87">
        <v>0</v>
      </c>
      <c r="AU105" s="87">
        <v>195.72</v>
      </c>
      <c r="AV105" s="87">
        <v>570.48</v>
      </c>
      <c r="AW105" s="87">
        <v>2.99</v>
      </c>
      <c r="AX105" s="87"/>
      <c r="AY105" s="88">
        <f t="shared" si="35"/>
        <v>811.53</v>
      </c>
      <c r="AZ105" s="88">
        <v>4000</v>
      </c>
      <c r="BA105" s="88">
        <v>2500</v>
      </c>
      <c r="BB105" s="89"/>
    </row>
    <row r="106" spans="1:54" x14ac:dyDescent="0.3">
      <c r="A106" s="50"/>
      <c r="B106" s="50"/>
      <c r="C106" s="50"/>
      <c r="D106" s="50"/>
      <c r="E106" s="50"/>
      <c r="F106" s="50"/>
      <c r="G106" s="50" t="s">
        <v>232</v>
      </c>
      <c r="H106" s="51">
        <v>92.05</v>
      </c>
      <c r="I106" s="51">
        <v>0</v>
      </c>
      <c r="J106" s="51">
        <v>0</v>
      </c>
      <c r="K106" s="51">
        <v>0</v>
      </c>
      <c r="L106" s="51">
        <v>0</v>
      </c>
      <c r="M106" s="51">
        <v>0</v>
      </c>
      <c r="N106" s="51">
        <v>0</v>
      </c>
      <c r="O106" s="51">
        <v>53.22</v>
      </c>
      <c r="P106" s="51">
        <v>0</v>
      </c>
      <c r="Q106" s="51">
        <v>30.5</v>
      </c>
      <c r="R106" s="51">
        <v>0</v>
      </c>
      <c r="S106" s="51">
        <v>0</v>
      </c>
      <c r="T106" s="51"/>
      <c r="U106" s="51">
        <f t="shared" si="34"/>
        <v>175.77</v>
      </c>
      <c r="V106" s="67">
        <v>2400</v>
      </c>
      <c r="W106" s="67">
        <v>2400</v>
      </c>
      <c r="AB106" s="86"/>
      <c r="AC106" s="86"/>
      <c r="AD106" s="86"/>
      <c r="AE106" s="86"/>
      <c r="AF106" s="86"/>
      <c r="AG106" s="86" t="s">
        <v>232</v>
      </c>
      <c r="AH106" s="87"/>
      <c r="AI106" s="87"/>
      <c r="AJ106" s="87"/>
      <c r="AK106" s="87"/>
      <c r="AL106" s="87">
        <v>0</v>
      </c>
      <c r="AM106" s="87">
        <v>22.04</v>
      </c>
      <c r="AN106" s="87">
        <v>0</v>
      </c>
      <c r="AO106" s="87">
        <v>0</v>
      </c>
      <c r="AP106" s="87">
        <v>0</v>
      </c>
      <c r="AQ106" s="87">
        <v>0</v>
      </c>
      <c r="AR106" s="87">
        <v>0</v>
      </c>
      <c r="AS106" s="87">
        <v>0</v>
      </c>
      <c r="AT106" s="87">
        <v>0</v>
      </c>
      <c r="AU106" s="87">
        <v>0</v>
      </c>
      <c r="AV106" s="87">
        <v>0</v>
      </c>
      <c r="AW106" s="87">
        <v>0</v>
      </c>
      <c r="AX106" s="87"/>
      <c r="AY106" s="88">
        <f t="shared" si="35"/>
        <v>22.04</v>
      </c>
      <c r="AZ106" s="88">
        <v>0</v>
      </c>
      <c r="BA106" s="88">
        <v>2400</v>
      </c>
      <c r="BB106" s="89" t="s">
        <v>249</v>
      </c>
    </row>
    <row r="107" spans="1:54" x14ac:dyDescent="0.3">
      <c r="A107" s="50"/>
      <c r="B107" s="50"/>
      <c r="C107" s="50"/>
      <c r="D107" s="50"/>
      <c r="E107" s="50"/>
      <c r="F107" s="50"/>
      <c r="G107" s="50" t="s">
        <v>148</v>
      </c>
      <c r="H107" s="51">
        <v>115</v>
      </c>
      <c r="I107" s="51">
        <v>115</v>
      </c>
      <c r="J107" s="51">
        <v>230</v>
      </c>
      <c r="K107" s="51">
        <v>0</v>
      </c>
      <c r="L107" s="51">
        <v>115</v>
      </c>
      <c r="M107" s="51">
        <v>115</v>
      </c>
      <c r="N107" s="51">
        <v>115</v>
      </c>
      <c r="O107" s="51">
        <v>115</v>
      </c>
      <c r="P107" s="51">
        <v>115</v>
      </c>
      <c r="Q107" s="51">
        <v>115</v>
      </c>
      <c r="R107" s="51">
        <v>115</v>
      </c>
      <c r="S107" s="51">
        <v>115</v>
      </c>
      <c r="T107" s="51"/>
      <c r="U107" s="51">
        <f t="shared" si="34"/>
        <v>1380</v>
      </c>
      <c r="V107" s="67">
        <v>1400</v>
      </c>
      <c r="W107" s="67">
        <v>1400</v>
      </c>
      <c r="AB107" s="86"/>
      <c r="AC107" s="86"/>
      <c r="AD107" s="86"/>
      <c r="AE107" s="86"/>
      <c r="AF107" s="86"/>
      <c r="AG107" s="86" t="s">
        <v>148</v>
      </c>
      <c r="AH107" s="87"/>
      <c r="AI107" s="87"/>
      <c r="AJ107" s="87"/>
      <c r="AK107" s="87"/>
      <c r="AL107" s="87">
        <v>116</v>
      </c>
      <c r="AM107" s="87">
        <v>116</v>
      </c>
      <c r="AN107" s="87">
        <v>241</v>
      </c>
      <c r="AO107" s="87">
        <v>0</v>
      </c>
      <c r="AP107" s="87">
        <v>115</v>
      </c>
      <c r="AQ107" s="87">
        <v>115</v>
      </c>
      <c r="AR107" s="87">
        <v>115</v>
      </c>
      <c r="AS107" s="87">
        <v>230</v>
      </c>
      <c r="AT107" s="87">
        <v>0</v>
      </c>
      <c r="AU107" s="87">
        <v>115</v>
      </c>
      <c r="AV107" s="87">
        <v>116</v>
      </c>
      <c r="AW107" s="87">
        <v>116</v>
      </c>
      <c r="AX107" s="87"/>
      <c r="AY107" s="88">
        <f t="shared" si="35"/>
        <v>1395</v>
      </c>
      <c r="AZ107" s="88">
        <v>1500</v>
      </c>
      <c r="BA107" s="88">
        <v>1400</v>
      </c>
      <c r="BB107" s="89"/>
    </row>
    <row r="108" spans="1:54" x14ac:dyDescent="0.3">
      <c r="A108" s="50"/>
      <c r="B108" s="50"/>
      <c r="C108" s="50"/>
      <c r="D108" s="50"/>
      <c r="E108" s="50"/>
      <c r="F108" s="50"/>
      <c r="G108" s="50" t="s">
        <v>149</v>
      </c>
      <c r="H108" s="51">
        <v>287.19</v>
      </c>
      <c r="I108" s="51">
        <v>277.58999999999997</v>
      </c>
      <c r="J108" s="51">
        <v>296</v>
      </c>
      <c r="K108" s="51">
        <v>391.54</v>
      </c>
      <c r="L108" s="51">
        <v>266.11</v>
      </c>
      <c r="M108" s="51">
        <v>294.98</v>
      </c>
      <c r="N108" s="51">
        <v>436.26</v>
      </c>
      <c r="O108" s="51">
        <v>30.18</v>
      </c>
      <c r="P108" s="51">
        <v>26.68</v>
      </c>
      <c r="Q108" s="51">
        <v>428.65</v>
      </c>
      <c r="R108" s="51">
        <v>287.55</v>
      </c>
      <c r="S108" s="51">
        <v>270.11</v>
      </c>
      <c r="T108" s="51"/>
      <c r="U108" s="51">
        <f t="shared" si="34"/>
        <v>3292.84</v>
      </c>
      <c r="V108" s="67">
        <v>4100</v>
      </c>
      <c r="W108" s="67">
        <v>4100</v>
      </c>
      <c r="AB108" s="86"/>
      <c r="AC108" s="86"/>
      <c r="AD108" s="86"/>
      <c r="AE108" s="86"/>
      <c r="AF108" s="86"/>
      <c r="AG108" s="86" t="s">
        <v>149</v>
      </c>
      <c r="AH108" s="87"/>
      <c r="AI108" s="87"/>
      <c r="AJ108" s="87"/>
      <c r="AK108" s="87"/>
      <c r="AL108" s="87">
        <v>278.04000000000002</v>
      </c>
      <c r="AM108" s="87">
        <v>270.92</v>
      </c>
      <c r="AN108" s="87">
        <v>259.54000000000002</v>
      </c>
      <c r="AO108" s="87">
        <v>435.49</v>
      </c>
      <c r="AP108" s="87">
        <v>221.98</v>
      </c>
      <c r="AQ108" s="87">
        <v>279.07</v>
      </c>
      <c r="AR108" s="87">
        <v>425.18</v>
      </c>
      <c r="AS108" s="87">
        <v>276.11</v>
      </c>
      <c r="AT108" s="87">
        <v>276.11</v>
      </c>
      <c r="AU108" s="87">
        <v>463.17</v>
      </c>
      <c r="AV108" s="87">
        <v>370.92</v>
      </c>
      <c r="AW108" s="87">
        <v>400.19</v>
      </c>
      <c r="AX108" s="87"/>
      <c r="AY108" s="88">
        <f t="shared" si="35"/>
        <v>3956.72</v>
      </c>
      <c r="AZ108" s="88">
        <v>4200</v>
      </c>
      <c r="BA108" s="88">
        <v>4100</v>
      </c>
      <c r="BB108" s="89"/>
    </row>
    <row r="109" spans="1:54" x14ac:dyDescent="0.3">
      <c r="A109" s="50"/>
      <c r="B109" s="50"/>
      <c r="C109" s="50"/>
      <c r="D109" s="50"/>
      <c r="E109" s="50"/>
      <c r="F109" s="50"/>
      <c r="G109" s="50" t="s">
        <v>150</v>
      </c>
      <c r="H109" s="51">
        <v>0</v>
      </c>
      <c r="I109" s="51">
        <v>0</v>
      </c>
      <c r="J109" s="51">
        <v>0</v>
      </c>
      <c r="K109" s="51">
        <v>9900</v>
      </c>
      <c r="L109" s="51">
        <v>0</v>
      </c>
      <c r="M109" s="51">
        <v>0</v>
      </c>
      <c r="N109" s="51">
        <v>1100</v>
      </c>
      <c r="O109" s="51">
        <v>0</v>
      </c>
      <c r="P109" s="51">
        <v>0</v>
      </c>
      <c r="Q109" s="51">
        <v>0</v>
      </c>
      <c r="R109" s="51">
        <v>0</v>
      </c>
      <c r="S109" s="51">
        <v>0</v>
      </c>
      <c r="T109" s="51"/>
      <c r="U109" s="51">
        <f t="shared" si="34"/>
        <v>11000</v>
      </c>
      <c r="V109" s="67">
        <v>11000</v>
      </c>
      <c r="W109" s="67">
        <v>10500</v>
      </c>
      <c r="AB109" s="86"/>
      <c r="AC109" s="86"/>
      <c r="AD109" s="86"/>
      <c r="AE109" s="86"/>
      <c r="AF109" s="86"/>
      <c r="AG109" s="86" t="s">
        <v>150</v>
      </c>
      <c r="AH109" s="87"/>
      <c r="AI109" s="87"/>
      <c r="AJ109" s="87"/>
      <c r="AK109" s="87"/>
      <c r="AL109" s="87">
        <v>0</v>
      </c>
      <c r="AM109" s="87">
        <v>8240</v>
      </c>
      <c r="AN109" s="87">
        <v>2060</v>
      </c>
      <c r="AO109" s="87">
        <v>0</v>
      </c>
      <c r="AP109" s="87">
        <v>0</v>
      </c>
      <c r="AQ109" s="87">
        <v>0</v>
      </c>
      <c r="AR109" s="87">
        <v>0</v>
      </c>
      <c r="AS109" s="87">
        <v>0</v>
      </c>
      <c r="AT109" s="87">
        <v>0</v>
      </c>
      <c r="AU109" s="87">
        <v>0</v>
      </c>
      <c r="AV109" s="87">
        <v>0</v>
      </c>
      <c r="AW109" s="87">
        <v>0</v>
      </c>
      <c r="AX109" s="87"/>
      <c r="AY109" s="88">
        <f t="shared" si="35"/>
        <v>10300</v>
      </c>
      <c r="AZ109" s="88">
        <v>12000</v>
      </c>
      <c r="BA109" s="88">
        <v>11000</v>
      </c>
      <c r="BB109" s="89"/>
    </row>
    <row r="110" spans="1:54" x14ac:dyDescent="0.3">
      <c r="A110" s="50"/>
      <c r="B110" s="50"/>
      <c r="C110" s="50"/>
      <c r="D110" s="50"/>
      <c r="E110" s="50"/>
      <c r="F110" s="50"/>
      <c r="G110" s="50" t="s">
        <v>151</v>
      </c>
      <c r="H110" s="51">
        <v>770</v>
      </c>
      <c r="I110" s="51">
        <v>1017.5</v>
      </c>
      <c r="J110" s="51">
        <v>1540</v>
      </c>
      <c r="K110" s="51">
        <v>0</v>
      </c>
      <c r="L110" s="51">
        <v>1045</v>
      </c>
      <c r="M110" s="51">
        <v>247.5</v>
      </c>
      <c r="N110" s="51">
        <v>805</v>
      </c>
      <c r="O110" s="51">
        <v>488.75</v>
      </c>
      <c r="P110" s="51">
        <v>690</v>
      </c>
      <c r="Q110" s="51">
        <v>718.75</v>
      </c>
      <c r="R110" s="51">
        <v>575</v>
      </c>
      <c r="S110" s="51">
        <f>115*8</f>
        <v>920</v>
      </c>
      <c r="T110" s="51"/>
      <c r="U110" s="51">
        <f t="shared" si="34"/>
        <v>8817.5</v>
      </c>
      <c r="V110" s="67">
        <v>9500</v>
      </c>
      <c r="W110" s="67">
        <v>9500</v>
      </c>
      <c r="AB110" s="86"/>
      <c r="AC110" s="86"/>
      <c r="AD110" s="86"/>
      <c r="AE110" s="86"/>
      <c r="AF110" s="86"/>
      <c r="AG110" s="86" t="s">
        <v>151</v>
      </c>
      <c r="AH110" s="87"/>
      <c r="AI110" s="87"/>
      <c r="AJ110" s="87"/>
      <c r="AK110" s="87"/>
      <c r="AL110" s="87">
        <v>1023.75</v>
      </c>
      <c r="AM110" s="87">
        <v>1102.5</v>
      </c>
      <c r="AN110" s="87">
        <v>1155</v>
      </c>
      <c r="AO110" s="87">
        <v>551.25</v>
      </c>
      <c r="AP110" s="87">
        <v>813.75</v>
      </c>
      <c r="AQ110" s="87">
        <v>341.25</v>
      </c>
      <c r="AR110" s="87">
        <v>446.25</v>
      </c>
      <c r="AS110" s="87">
        <v>632.5</v>
      </c>
      <c r="AT110" s="87">
        <v>797.5</v>
      </c>
      <c r="AU110" s="87">
        <v>972.9</v>
      </c>
      <c r="AV110" s="87">
        <v>813.75</v>
      </c>
      <c r="AW110" s="87">
        <v>971.25</v>
      </c>
      <c r="AX110" s="87"/>
      <c r="AY110" s="88">
        <f t="shared" si="35"/>
        <v>9621.65</v>
      </c>
      <c r="AZ110" s="88">
        <v>8500</v>
      </c>
      <c r="BA110" s="88">
        <v>9500</v>
      </c>
      <c r="BB110" s="89" t="s">
        <v>248</v>
      </c>
    </row>
    <row r="111" spans="1:54" x14ac:dyDescent="0.3">
      <c r="A111" s="50"/>
      <c r="B111" s="50"/>
      <c r="C111" s="50"/>
      <c r="D111" s="50"/>
      <c r="E111" s="50"/>
      <c r="F111" s="50"/>
      <c r="G111" s="50" t="s">
        <v>200</v>
      </c>
      <c r="H111" s="51">
        <v>0</v>
      </c>
      <c r="I111" s="51">
        <v>0</v>
      </c>
      <c r="J111" s="51">
        <v>0</v>
      </c>
      <c r="K111" s="51">
        <v>0</v>
      </c>
      <c r="L111" s="51">
        <v>0</v>
      </c>
      <c r="M111" s="51">
        <v>0</v>
      </c>
      <c r="N111" s="51">
        <v>0</v>
      </c>
      <c r="O111" s="51">
        <v>0</v>
      </c>
      <c r="P111" s="51">
        <v>0</v>
      </c>
      <c r="Q111" s="51">
        <v>0</v>
      </c>
      <c r="R111" s="51">
        <v>0</v>
      </c>
      <c r="S111" s="51">
        <v>0</v>
      </c>
      <c r="T111" s="51"/>
      <c r="U111" s="51">
        <v>0</v>
      </c>
      <c r="V111" s="67">
        <v>9000</v>
      </c>
      <c r="W111" s="67">
        <v>9000</v>
      </c>
      <c r="AB111" s="86"/>
      <c r="AC111" s="86"/>
      <c r="AD111" s="86"/>
      <c r="AE111" s="86"/>
      <c r="AF111" s="86"/>
      <c r="AG111" s="86" t="s">
        <v>200</v>
      </c>
      <c r="AH111" s="87"/>
      <c r="AI111" s="87"/>
      <c r="AJ111" s="87"/>
      <c r="AK111" s="87"/>
      <c r="AL111" s="87">
        <v>0</v>
      </c>
      <c r="AM111" s="87">
        <v>0</v>
      </c>
      <c r="AN111" s="87">
        <v>0</v>
      </c>
      <c r="AO111" s="87">
        <v>0</v>
      </c>
      <c r="AP111" s="87">
        <v>0</v>
      </c>
      <c r="AQ111" s="87">
        <v>0</v>
      </c>
      <c r="AR111" s="87">
        <v>0</v>
      </c>
      <c r="AS111" s="87">
        <v>0</v>
      </c>
      <c r="AT111" s="87">
        <v>0</v>
      </c>
      <c r="AU111" s="87">
        <v>0</v>
      </c>
      <c r="AV111" s="87">
        <v>0</v>
      </c>
      <c r="AW111" s="87">
        <v>0</v>
      </c>
      <c r="AX111" s="87"/>
      <c r="AY111" s="88">
        <f t="shared" si="35"/>
        <v>0</v>
      </c>
      <c r="AZ111" s="88">
        <v>9000</v>
      </c>
      <c r="BA111" s="88">
        <v>9000</v>
      </c>
      <c r="BB111" s="89"/>
    </row>
    <row r="112" spans="1:54" x14ac:dyDescent="0.3">
      <c r="A112" s="50"/>
      <c r="B112" s="50"/>
      <c r="C112" s="50"/>
      <c r="D112" s="50"/>
      <c r="E112" s="50"/>
      <c r="F112" s="50"/>
      <c r="G112" s="50" t="s">
        <v>233</v>
      </c>
      <c r="H112" s="51">
        <v>0</v>
      </c>
      <c r="I112" s="51">
        <v>0</v>
      </c>
      <c r="J112" s="51">
        <v>0</v>
      </c>
      <c r="K112" s="51">
        <v>0</v>
      </c>
      <c r="L112" s="51">
        <v>375</v>
      </c>
      <c r="M112" s="51">
        <v>0</v>
      </c>
      <c r="N112" s="51">
        <v>0</v>
      </c>
      <c r="O112" s="51">
        <v>0</v>
      </c>
      <c r="P112" s="51">
        <v>0</v>
      </c>
      <c r="Q112" s="51">
        <v>0</v>
      </c>
      <c r="R112" s="51">
        <v>0</v>
      </c>
      <c r="S112" s="51">
        <v>0</v>
      </c>
      <c r="T112" s="51"/>
      <c r="U112" s="51">
        <f t="shared" si="34"/>
        <v>375</v>
      </c>
      <c r="V112" s="67">
        <v>400</v>
      </c>
      <c r="W112" s="67">
        <v>400</v>
      </c>
      <c r="AB112" s="86"/>
      <c r="AC112" s="86"/>
      <c r="AD112" s="86"/>
      <c r="AE112" s="86"/>
      <c r="AF112" s="86"/>
      <c r="AG112" s="86" t="s">
        <v>233</v>
      </c>
      <c r="AH112" s="87"/>
      <c r="AI112" s="87"/>
      <c r="AJ112" s="87"/>
      <c r="AK112" s="87"/>
      <c r="AL112" s="87">
        <v>0</v>
      </c>
      <c r="AM112" s="87">
        <v>0</v>
      </c>
      <c r="AN112" s="87">
        <v>0</v>
      </c>
      <c r="AO112" s="87">
        <v>0</v>
      </c>
      <c r="AP112" s="87">
        <v>0</v>
      </c>
      <c r="AQ112" s="87">
        <v>0</v>
      </c>
      <c r="AR112" s="87">
        <v>375</v>
      </c>
      <c r="AS112" s="87">
        <v>0</v>
      </c>
      <c r="AT112" s="87">
        <v>0</v>
      </c>
      <c r="AU112" s="87">
        <v>0</v>
      </c>
      <c r="AV112" s="87">
        <v>0</v>
      </c>
      <c r="AW112" s="87">
        <v>0</v>
      </c>
      <c r="AX112" s="87"/>
      <c r="AY112" s="88">
        <f t="shared" si="35"/>
        <v>375</v>
      </c>
      <c r="AZ112" s="88">
        <v>200</v>
      </c>
      <c r="BA112" s="88">
        <v>400</v>
      </c>
      <c r="BB112" s="89" t="s">
        <v>250</v>
      </c>
    </row>
    <row r="113" spans="1:54" x14ac:dyDescent="0.3">
      <c r="A113" s="50"/>
      <c r="B113" s="50"/>
      <c r="C113" s="50"/>
      <c r="D113" s="50"/>
      <c r="E113" s="50"/>
      <c r="F113" s="50"/>
      <c r="G113" s="50" t="s">
        <v>152</v>
      </c>
      <c r="H113" s="51">
        <v>435</v>
      </c>
      <c r="I113" s="51">
        <v>0</v>
      </c>
      <c r="J113" s="51">
        <v>1275</v>
      </c>
      <c r="K113" s="51">
        <v>315</v>
      </c>
      <c r="L113" s="51">
        <v>420</v>
      </c>
      <c r="M113" s="51">
        <v>300</v>
      </c>
      <c r="N113" s="51">
        <v>360</v>
      </c>
      <c r="O113" s="51">
        <v>435</v>
      </c>
      <c r="P113" s="51">
        <v>0</v>
      </c>
      <c r="Q113" s="51">
        <v>525</v>
      </c>
      <c r="R113" s="51">
        <v>0</v>
      </c>
      <c r="S113" s="51">
        <v>1350</v>
      </c>
      <c r="T113" s="51"/>
      <c r="U113" s="51">
        <f t="shared" si="34"/>
        <v>5415</v>
      </c>
      <c r="V113" s="67">
        <v>30000</v>
      </c>
      <c r="W113" s="67">
        <v>30000</v>
      </c>
      <c r="AB113" s="86"/>
      <c r="AC113" s="86"/>
      <c r="AD113" s="86"/>
      <c r="AE113" s="86"/>
      <c r="AF113" s="86"/>
      <c r="AG113" s="86" t="s">
        <v>152</v>
      </c>
      <c r="AH113" s="87"/>
      <c r="AI113" s="87"/>
      <c r="AJ113" s="87"/>
      <c r="AK113" s="87"/>
      <c r="AL113" s="87">
        <v>540</v>
      </c>
      <c r="AM113" s="87">
        <v>60</v>
      </c>
      <c r="AN113" s="87">
        <v>0</v>
      </c>
      <c r="AO113" s="87">
        <v>0</v>
      </c>
      <c r="AP113" s="87">
        <v>650</v>
      </c>
      <c r="AQ113" s="87">
        <v>1360</v>
      </c>
      <c r="AR113" s="87">
        <v>170</v>
      </c>
      <c r="AS113" s="87">
        <v>60</v>
      </c>
      <c r="AT113" s="87">
        <v>1700</v>
      </c>
      <c r="AU113" s="87">
        <v>0</v>
      </c>
      <c r="AV113" s="87">
        <v>1245</v>
      </c>
      <c r="AW113" s="87">
        <v>1215</v>
      </c>
      <c r="AX113" s="87"/>
      <c r="AY113" s="88">
        <f t="shared" si="35"/>
        <v>7000</v>
      </c>
      <c r="AZ113" s="88">
        <v>30000</v>
      </c>
      <c r="BA113" s="88">
        <v>30000</v>
      </c>
      <c r="BB113" s="89" t="s">
        <v>251</v>
      </c>
    </row>
    <row r="114" spans="1:54" x14ac:dyDescent="0.3">
      <c r="A114" s="50"/>
      <c r="B114" s="50"/>
      <c r="C114" s="50"/>
      <c r="D114" s="50"/>
      <c r="E114" s="50"/>
      <c r="F114" s="50"/>
      <c r="G114" s="50" t="s">
        <v>153</v>
      </c>
      <c r="H114" s="51">
        <v>445.33</v>
      </c>
      <c r="I114" s="51">
        <v>445.33</v>
      </c>
      <c r="J114" s="51">
        <v>445.33</v>
      </c>
      <c r="K114" s="51">
        <v>365.4</v>
      </c>
      <c r="L114" s="51">
        <v>365.4</v>
      </c>
      <c r="M114" s="51">
        <v>365.4</v>
      </c>
      <c r="N114" s="51">
        <v>365.4</v>
      </c>
      <c r="O114" s="51">
        <v>445.33</v>
      </c>
      <c r="P114" s="51">
        <v>445.33</v>
      </c>
      <c r="Q114" s="51">
        <v>445.33</v>
      </c>
      <c r="R114" s="51">
        <v>445.33</v>
      </c>
      <c r="S114" s="51">
        <v>445.33</v>
      </c>
      <c r="T114" s="51"/>
      <c r="U114" s="51">
        <f t="shared" si="34"/>
        <v>5024.24</v>
      </c>
      <c r="V114" s="67">
        <v>5400</v>
      </c>
      <c r="W114" s="115">
        <v>5400</v>
      </c>
      <c r="AB114" s="86"/>
      <c r="AC114" s="86"/>
      <c r="AD114" s="86"/>
      <c r="AE114" s="86"/>
      <c r="AF114" s="86"/>
      <c r="AG114" s="86" t="s">
        <v>153</v>
      </c>
      <c r="AH114" s="87"/>
      <c r="AI114" s="87"/>
      <c r="AJ114" s="87"/>
      <c r="AK114" s="87"/>
      <c r="AL114" s="87">
        <v>445.33</v>
      </c>
      <c r="AM114" s="87">
        <v>445.33</v>
      </c>
      <c r="AN114" s="87">
        <v>445.33</v>
      </c>
      <c r="AO114" s="87">
        <v>365.4</v>
      </c>
      <c r="AP114" s="87">
        <v>365.4</v>
      </c>
      <c r="AQ114" s="87">
        <v>365.4</v>
      </c>
      <c r="AR114" s="87">
        <v>445.33</v>
      </c>
      <c r="AS114" s="87">
        <v>445.33</v>
      </c>
      <c r="AT114" s="87">
        <v>445.33</v>
      </c>
      <c r="AU114" s="87">
        <v>445.33</v>
      </c>
      <c r="AV114" s="87">
        <v>445.33</v>
      </c>
      <c r="AW114" s="87">
        <v>445.33</v>
      </c>
      <c r="AX114" s="87"/>
      <c r="AY114" s="88">
        <f t="shared" si="35"/>
        <v>5104.17</v>
      </c>
      <c r="AZ114" s="88">
        <v>5400</v>
      </c>
      <c r="BA114" s="88">
        <v>5400</v>
      </c>
      <c r="BB114" s="89"/>
    </row>
    <row r="115" spans="1:54" x14ac:dyDescent="0.3">
      <c r="A115" s="50"/>
      <c r="B115" s="50"/>
      <c r="C115" s="50"/>
      <c r="D115" s="50"/>
      <c r="E115" s="50"/>
      <c r="F115" s="50"/>
      <c r="G115" s="50" t="s">
        <v>154</v>
      </c>
      <c r="H115" s="51">
        <v>0</v>
      </c>
      <c r="I115" s="51">
        <v>0</v>
      </c>
      <c r="J115" s="51">
        <v>0</v>
      </c>
      <c r="K115" s="51">
        <v>0</v>
      </c>
      <c r="L115" s="51">
        <v>0</v>
      </c>
      <c r="M115" s="51">
        <v>266</v>
      </c>
      <c r="N115" s="51">
        <v>0</v>
      </c>
      <c r="O115" s="51">
        <v>0</v>
      </c>
      <c r="P115" s="51">
        <v>28</v>
      </c>
      <c r="Q115" s="51">
        <v>0</v>
      </c>
      <c r="R115" s="51">
        <v>0</v>
      </c>
      <c r="S115" s="51">
        <v>0</v>
      </c>
      <c r="T115" s="51"/>
      <c r="U115" s="51">
        <f t="shared" si="34"/>
        <v>294</v>
      </c>
      <c r="V115" s="67">
        <v>1800</v>
      </c>
      <c r="W115" s="67">
        <v>1800</v>
      </c>
      <c r="AB115" s="86"/>
      <c r="AC115" s="86"/>
      <c r="AD115" s="86"/>
      <c r="AE115" s="86"/>
      <c r="AF115" s="86"/>
      <c r="AG115" s="86" t="s">
        <v>154</v>
      </c>
      <c r="AH115" s="87"/>
      <c r="AI115" s="87"/>
      <c r="AJ115" s="87"/>
      <c r="AK115" s="87"/>
      <c r="AL115" s="87">
        <v>0</v>
      </c>
      <c r="AM115" s="87">
        <v>0</v>
      </c>
      <c r="AN115" s="87">
        <v>384</v>
      </c>
      <c r="AO115" s="87">
        <v>0</v>
      </c>
      <c r="AP115" s="87">
        <v>469.18</v>
      </c>
      <c r="AQ115" s="87">
        <v>103.23</v>
      </c>
      <c r="AR115" s="87">
        <v>0</v>
      </c>
      <c r="AS115" s="87">
        <v>0</v>
      </c>
      <c r="AT115" s="87">
        <v>0</v>
      </c>
      <c r="AU115" s="87">
        <v>0</v>
      </c>
      <c r="AV115" s="87">
        <v>0</v>
      </c>
      <c r="AW115" s="87">
        <v>0</v>
      </c>
      <c r="AX115" s="87"/>
      <c r="AY115" s="88">
        <f t="shared" si="35"/>
        <v>956.41</v>
      </c>
      <c r="AZ115" s="88">
        <v>1800</v>
      </c>
      <c r="BA115" s="88">
        <v>1800</v>
      </c>
      <c r="BB115" s="89"/>
    </row>
    <row r="116" spans="1:54" x14ac:dyDescent="0.3">
      <c r="A116" s="50"/>
      <c r="B116" s="50"/>
      <c r="C116" s="50"/>
      <c r="D116" s="50"/>
      <c r="E116" s="50"/>
      <c r="F116" s="50"/>
      <c r="G116" s="50" t="s">
        <v>238</v>
      </c>
      <c r="H116" s="51">
        <v>0</v>
      </c>
      <c r="I116" s="51">
        <v>0</v>
      </c>
      <c r="J116" s="51">
        <v>0</v>
      </c>
      <c r="K116" s="51">
        <v>0</v>
      </c>
      <c r="L116" s="51">
        <v>0</v>
      </c>
      <c r="M116" s="51">
        <v>0</v>
      </c>
      <c r="N116" s="51">
        <v>0</v>
      </c>
      <c r="O116" s="51">
        <v>0</v>
      </c>
      <c r="P116" s="51">
        <v>0</v>
      </c>
      <c r="Q116" s="51">
        <v>0</v>
      </c>
      <c r="R116" s="51">
        <v>0</v>
      </c>
      <c r="S116" s="51">
        <v>0</v>
      </c>
      <c r="T116" s="51"/>
      <c r="U116" s="51">
        <v>0</v>
      </c>
      <c r="V116" s="67">
        <v>300</v>
      </c>
      <c r="W116" s="67">
        <v>300</v>
      </c>
      <c r="AB116" s="86"/>
      <c r="AC116" s="86"/>
      <c r="AD116" s="86"/>
      <c r="AE116" s="86"/>
      <c r="AF116" s="86"/>
      <c r="AG116" s="86" t="s">
        <v>238</v>
      </c>
      <c r="AH116" s="87"/>
      <c r="AI116" s="87"/>
      <c r="AJ116" s="87"/>
      <c r="AK116" s="87"/>
      <c r="AL116" s="87">
        <v>0</v>
      </c>
      <c r="AM116" s="87">
        <v>0</v>
      </c>
      <c r="AN116" s="87">
        <v>0</v>
      </c>
      <c r="AO116" s="87">
        <v>0</v>
      </c>
      <c r="AP116" s="87">
        <v>0</v>
      </c>
      <c r="AQ116" s="87">
        <v>0</v>
      </c>
      <c r="AR116" s="87">
        <v>0</v>
      </c>
      <c r="AS116" s="87">
        <v>0</v>
      </c>
      <c r="AT116" s="87">
        <v>0</v>
      </c>
      <c r="AU116" s="87">
        <v>0</v>
      </c>
      <c r="AV116" s="87">
        <v>0</v>
      </c>
      <c r="AW116" s="87">
        <v>0</v>
      </c>
      <c r="AX116" s="87"/>
      <c r="AY116" s="88">
        <f t="shared" si="35"/>
        <v>0</v>
      </c>
      <c r="AZ116" s="88">
        <v>250</v>
      </c>
      <c r="BA116" s="88">
        <v>300</v>
      </c>
      <c r="BB116" s="89"/>
    </row>
    <row r="117" spans="1:54" x14ac:dyDescent="0.3">
      <c r="A117" s="50"/>
      <c r="B117" s="50"/>
      <c r="C117" s="50"/>
      <c r="D117" s="50"/>
      <c r="E117" s="50"/>
      <c r="F117" s="50"/>
      <c r="G117" s="50" t="s">
        <v>155</v>
      </c>
      <c r="H117" s="51">
        <v>0</v>
      </c>
      <c r="I117" s="51">
        <v>365</v>
      </c>
      <c r="J117" s="51">
        <v>0</v>
      </c>
      <c r="K117" s="51">
        <v>0</v>
      </c>
      <c r="L117" s="51">
        <v>0</v>
      </c>
      <c r="M117" s="51">
        <v>0</v>
      </c>
      <c r="N117" s="51">
        <v>219</v>
      </c>
      <c r="O117" s="51">
        <v>0</v>
      </c>
      <c r="P117" s="51">
        <v>0</v>
      </c>
      <c r="Q117" s="51">
        <v>0</v>
      </c>
      <c r="R117" s="51">
        <v>0</v>
      </c>
      <c r="S117" s="51">
        <v>0</v>
      </c>
      <c r="T117" s="51"/>
      <c r="U117" s="51">
        <f t="shared" si="34"/>
        <v>584</v>
      </c>
      <c r="V117" s="67">
        <v>2500</v>
      </c>
      <c r="W117" s="67">
        <v>2500</v>
      </c>
      <c r="AB117" s="86"/>
      <c r="AC117" s="86"/>
      <c r="AD117" s="86"/>
      <c r="AE117" s="86"/>
      <c r="AF117" s="86"/>
      <c r="AG117" s="86" t="s">
        <v>155</v>
      </c>
      <c r="AH117" s="87"/>
      <c r="AI117" s="87"/>
      <c r="AJ117" s="87"/>
      <c r="AK117" s="87"/>
      <c r="AL117" s="87">
        <v>0</v>
      </c>
      <c r="AM117" s="87">
        <v>0</v>
      </c>
      <c r="AN117" s="87">
        <v>0</v>
      </c>
      <c r="AO117" s="87">
        <v>0</v>
      </c>
      <c r="AP117" s="87">
        <v>0</v>
      </c>
      <c r="AQ117" s="87">
        <v>0</v>
      </c>
      <c r="AR117" s="87">
        <v>0</v>
      </c>
      <c r="AS117" s="87">
        <v>0</v>
      </c>
      <c r="AT117" s="87">
        <v>0</v>
      </c>
      <c r="AU117" s="87">
        <v>0</v>
      </c>
      <c r="AV117" s="87">
        <v>63</v>
      </c>
      <c r="AW117" s="87">
        <v>0</v>
      </c>
      <c r="AX117" s="87"/>
      <c r="AY117" s="88">
        <f t="shared" si="35"/>
        <v>63</v>
      </c>
      <c r="AZ117" s="88">
        <v>2500</v>
      </c>
      <c r="BA117" s="88">
        <v>2500</v>
      </c>
      <c r="BB117" s="89"/>
    </row>
    <row r="118" spans="1:54" x14ac:dyDescent="0.3">
      <c r="A118" s="50"/>
      <c r="B118" s="50"/>
      <c r="C118" s="50"/>
      <c r="D118" s="50"/>
      <c r="E118" s="50"/>
      <c r="F118" s="50"/>
      <c r="G118" s="50" t="s">
        <v>156</v>
      </c>
      <c r="H118" s="51">
        <v>13.59</v>
      </c>
      <c r="I118" s="51">
        <v>1982.42</v>
      </c>
      <c r="J118" s="51">
        <v>1019.56</v>
      </c>
      <c r="K118" s="51">
        <v>0</v>
      </c>
      <c r="L118" s="51">
        <v>0</v>
      </c>
      <c r="M118" s="51">
        <v>0</v>
      </c>
      <c r="N118" s="51">
        <v>700</v>
      </c>
      <c r="O118" s="51">
        <v>0</v>
      </c>
      <c r="P118" s="51">
        <v>0</v>
      </c>
      <c r="Q118" s="51">
        <v>0</v>
      </c>
      <c r="R118" s="51">
        <v>0</v>
      </c>
      <c r="S118" s="51">
        <v>15</v>
      </c>
      <c r="T118" s="51"/>
      <c r="U118" s="51">
        <f t="shared" si="34"/>
        <v>3730.57</v>
      </c>
      <c r="V118" s="67">
        <v>30000</v>
      </c>
      <c r="W118" s="67">
        <v>30000</v>
      </c>
      <c r="AB118" s="86"/>
      <c r="AC118" s="86"/>
      <c r="AD118" s="86"/>
      <c r="AE118" s="86"/>
      <c r="AF118" s="86"/>
      <c r="AG118" s="86" t="s">
        <v>156</v>
      </c>
      <c r="AH118" s="87"/>
      <c r="AI118" s="87"/>
      <c r="AJ118" s="87"/>
      <c r="AK118" s="87"/>
      <c r="AL118" s="87">
        <v>0</v>
      </c>
      <c r="AM118" s="87">
        <v>378</v>
      </c>
      <c r="AN118" s="87">
        <v>425</v>
      </c>
      <c r="AO118" s="87">
        <v>0</v>
      </c>
      <c r="AP118" s="87">
        <v>100</v>
      </c>
      <c r="AQ118" s="87">
        <v>0</v>
      </c>
      <c r="AR118" s="87">
        <v>99</v>
      </c>
      <c r="AS118" s="87">
        <v>-100</v>
      </c>
      <c r="AT118" s="87">
        <v>0</v>
      </c>
      <c r="AU118" s="87">
        <v>0</v>
      </c>
      <c r="AV118" s="87">
        <v>0</v>
      </c>
      <c r="AW118" s="87">
        <v>0</v>
      </c>
      <c r="AX118" s="87"/>
      <c r="AY118" s="88">
        <f t="shared" si="35"/>
        <v>902</v>
      </c>
      <c r="AZ118" s="88">
        <v>30000</v>
      </c>
      <c r="BA118" s="88">
        <v>30000</v>
      </c>
      <c r="BB118" s="89" t="s">
        <v>251</v>
      </c>
    </row>
    <row r="119" spans="1:54" x14ac:dyDescent="0.3">
      <c r="A119" s="50"/>
      <c r="B119" s="50"/>
      <c r="C119" s="50"/>
      <c r="D119" s="50"/>
      <c r="E119" s="50"/>
      <c r="F119" s="50"/>
      <c r="G119" s="50" t="s">
        <v>157</v>
      </c>
      <c r="H119" s="51">
        <v>321.43</v>
      </c>
      <c r="I119" s="51">
        <v>48.7</v>
      </c>
      <c r="J119" s="51">
        <v>56.42</v>
      </c>
      <c r="K119" s="51">
        <v>42.97</v>
      </c>
      <c r="L119" s="51">
        <v>0</v>
      </c>
      <c r="M119" s="51">
        <v>141.88</v>
      </c>
      <c r="N119" s="51">
        <v>101.79</v>
      </c>
      <c r="O119" s="51">
        <v>0</v>
      </c>
      <c r="P119" s="51">
        <v>317.31</v>
      </c>
      <c r="Q119" s="51">
        <v>153.86000000000001</v>
      </c>
      <c r="R119" s="51">
        <v>0</v>
      </c>
      <c r="S119" s="51">
        <v>150</v>
      </c>
      <c r="T119" s="51"/>
      <c r="U119" s="51">
        <f t="shared" si="34"/>
        <v>1334.36</v>
      </c>
      <c r="V119" s="67">
        <v>2000</v>
      </c>
      <c r="W119" s="67">
        <v>2000</v>
      </c>
      <c r="AB119" s="86"/>
      <c r="AC119" s="86"/>
      <c r="AD119" s="86"/>
      <c r="AE119" s="86"/>
      <c r="AF119" s="86"/>
      <c r="AG119" s="86" t="s">
        <v>157</v>
      </c>
      <c r="AH119" s="87"/>
      <c r="AI119" s="87"/>
      <c r="AJ119" s="87"/>
      <c r="AK119" s="87"/>
      <c r="AL119" s="87">
        <v>0</v>
      </c>
      <c r="AM119" s="87">
        <v>75.34</v>
      </c>
      <c r="AN119" s="87">
        <v>66.03</v>
      </c>
      <c r="AO119" s="87">
        <v>100.89</v>
      </c>
      <c r="AP119" s="87">
        <v>0</v>
      </c>
      <c r="AQ119" s="87">
        <v>0</v>
      </c>
      <c r="AR119" s="87">
        <v>43.21</v>
      </c>
      <c r="AS119" s="87">
        <v>147.96</v>
      </c>
      <c r="AT119" s="87">
        <v>64.540000000000006</v>
      </c>
      <c r="AU119" s="87">
        <v>0</v>
      </c>
      <c r="AV119" s="87">
        <v>0</v>
      </c>
      <c r="AW119" s="87">
        <v>45.66</v>
      </c>
      <c r="AX119" s="87"/>
      <c r="AY119" s="88">
        <f t="shared" si="35"/>
        <v>543.63</v>
      </c>
      <c r="AZ119" s="88">
        <v>2000</v>
      </c>
      <c r="BA119" s="88">
        <v>2000</v>
      </c>
      <c r="BB119" s="89"/>
    </row>
    <row r="120" spans="1:54" x14ac:dyDescent="0.3">
      <c r="A120" s="50"/>
      <c r="B120" s="50"/>
      <c r="C120" s="50"/>
      <c r="D120" s="50"/>
      <c r="E120" s="50"/>
      <c r="F120" s="50"/>
      <c r="G120" s="50" t="s">
        <v>158</v>
      </c>
      <c r="H120" s="51">
        <v>0</v>
      </c>
      <c r="I120" s="51">
        <v>0</v>
      </c>
      <c r="J120" s="51">
        <v>0</v>
      </c>
      <c r="K120" s="51">
        <v>800</v>
      </c>
      <c r="L120" s="51">
        <v>0</v>
      </c>
      <c r="M120" s="51">
        <v>2292.25</v>
      </c>
      <c r="N120" s="51">
        <v>0</v>
      </c>
      <c r="O120" s="51">
        <v>0</v>
      </c>
      <c r="P120" s="51">
        <v>0</v>
      </c>
      <c r="Q120" s="51">
        <v>0</v>
      </c>
      <c r="R120" s="51">
        <v>0</v>
      </c>
      <c r="S120" s="51">
        <v>0</v>
      </c>
      <c r="T120" s="51"/>
      <c r="U120" s="51">
        <f t="shared" si="34"/>
        <v>3092.25</v>
      </c>
      <c r="V120" s="67">
        <v>5000</v>
      </c>
      <c r="W120" s="67">
        <v>5000</v>
      </c>
      <c r="AB120" s="86"/>
      <c r="AC120" s="86"/>
      <c r="AD120" s="86"/>
      <c r="AE120" s="86"/>
      <c r="AF120" s="86"/>
      <c r="AG120" s="86" t="s">
        <v>158</v>
      </c>
      <c r="AH120" s="87"/>
      <c r="AI120" s="87"/>
      <c r="AJ120" s="87"/>
      <c r="AK120" s="87"/>
      <c r="AL120" s="87">
        <v>0</v>
      </c>
      <c r="AM120" s="87">
        <v>0</v>
      </c>
      <c r="AN120" s="87">
        <v>0</v>
      </c>
      <c r="AO120" s="87">
        <v>0</v>
      </c>
      <c r="AP120" s="87">
        <v>0</v>
      </c>
      <c r="AQ120" s="87">
        <v>275.2</v>
      </c>
      <c r="AR120" s="87">
        <v>0</v>
      </c>
      <c r="AS120" s="87">
        <v>0</v>
      </c>
      <c r="AT120" s="87">
        <v>0</v>
      </c>
      <c r="AU120" s="87">
        <v>0</v>
      </c>
      <c r="AV120" s="87">
        <v>0</v>
      </c>
      <c r="AW120" s="87">
        <v>0</v>
      </c>
      <c r="AX120" s="87"/>
      <c r="AY120" s="88">
        <f t="shared" si="35"/>
        <v>275.2</v>
      </c>
      <c r="AZ120" s="88">
        <v>5000</v>
      </c>
      <c r="BA120" s="88">
        <v>5000</v>
      </c>
      <c r="BB120" s="89"/>
    </row>
    <row r="121" spans="1:54" x14ac:dyDescent="0.3">
      <c r="A121" s="50"/>
      <c r="B121" s="50"/>
      <c r="C121" s="50"/>
      <c r="D121" s="50"/>
      <c r="E121" s="50"/>
      <c r="F121" s="50"/>
      <c r="G121" s="50" t="s">
        <v>159</v>
      </c>
      <c r="H121" s="51">
        <v>0</v>
      </c>
      <c r="I121" s="51">
        <v>0.45</v>
      </c>
      <c r="J121" s="51">
        <v>0</v>
      </c>
      <c r="K121" s="51">
        <v>0</v>
      </c>
      <c r="L121" s="51">
        <v>0</v>
      </c>
      <c r="M121" s="51">
        <v>0</v>
      </c>
      <c r="N121" s="51">
        <v>0</v>
      </c>
      <c r="O121" s="51">
        <v>0</v>
      </c>
      <c r="P121" s="51">
        <v>0</v>
      </c>
      <c r="Q121" s="51">
        <v>0</v>
      </c>
      <c r="R121" s="51">
        <v>0</v>
      </c>
      <c r="S121" s="51">
        <v>0</v>
      </c>
      <c r="T121" s="51"/>
      <c r="U121" s="51">
        <f t="shared" si="34"/>
        <v>0.45</v>
      </c>
      <c r="V121" s="67">
        <v>2500</v>
      </c>
      <c r="W121" s="67">
        <v>2500</v>
      </c>
      <c r="X121" s="68" t="s">
        <v>313</v>
      </c>
      <c r="AB121" s="86"/>
      <c r="AC121" s="86"/>
      <c r="AD121" s="86"/>
      <c r="AE121" s="86"/>
      <c r="AF121" s="86"/>
      <c r="AG121" s="86" t="s">
        <v>159</v>
      </c>
      <c r="AH121" s="87"/>
      <c r="AI121" s="87"/>
      <c r="AJ121" s="87"/>
      <c r="AK121" s="87"/>
      <c r="AL121" s="87">
        <v>66.88</v>
      </c>
      <c r="AM121" s="87">
        <v>157.94</v>
      </c>
      <c r="AN121" s="87">
        <v>166.05</v>
      </c>
      <c r="AO121" s="87">
        <v>0</v>
      </c>
      <c r="AP121" s="87">
        <v>0</v>
      </c>
      <c r="AQ121" s="87">
        <v>0</v>
      </c>
      <c r="AR121" s="87">
        <v>0</v>
      </c>
      <c r="AS121" s="87">
        <v>0</v>
      </c>
      <c r="AT121" s="87">
        <v>248.76</v>
      </c>
      <c r="AU121" s="87">
        <v>0</v>
      </c>
      <c r="AV121" s="87">
        <v>127.06</v>
      </c>
      <c r="AW121" s="87">
        <v>76.099999999999994</v>
      </c>
      <c r="AX121" s="87"/>
      <c r="AY121" s="88">
        <f t="shared" si="35"/>
        <v>842.79</v>
      </c>
      <c r="AZ121" s="88">
        <v>2500</v>
      </c>
      <c r="BA121" s="88">
        <v>2500</v>
      </c>
      <c r="BB121" s="89"/>
    </row>
    <row r="122" spans="1:54" x14ac:dyDescent="0.3">
      <c r="A122" s="50"/>
      <c r="B122" s="50"/>
      <c r="C122" s="50"/>
      <c r="D122" s="50"/>
      <c r="E122" s="50"/>
      <c r="F122" s="50"/>
      <c r="G122" s="50" t="s">
        <v>160</v>
      </c>
      <c r="H122" s="51">
        <v>50</v>
      </c>
      <c r="I122" s="51">
        <v>100</v>
      </c>
      <c r="J122" s="51">
        <v>50</v>
      </c>
      <c r="K122" s="51">
        <v>50</v>
      </c>
      <c r="L122" s="51">
        <v>50</v>
      </c>
      <c r="M122" s="51">
        <v>50</v>
      </c>
      <c r="N122" s="51">
        <v>0</v>
      </c>
      <c r="O122" s="51">
        <v>50</v>
      </c>
      <c r="P122" s="51">
        <v>50</v>
      </c>
      <c r="Q122" s="51">
        <v>50</v>
      </c>
      <c r="R122" s="51">
        <v>50</v>
      </c>
      <c r="S122" s="51">
        <v>50</v>
      </c>
      <c r="T122" s="51"/>
      <c r="U122" s="51">
        <f t="shared" si="34"/>
        <v>600</v>
      </c>
      <c r="V122" s="67">
        <v>800</v>
      </c>
      <c r="W122" s="67">
        <v>800</v>
      </c>
      <c r="AB122" s="86"/>
      <c r="AC122" s="86"/>
      <c r="AD122" s="86"/>
      <c r="AE122" s="86"/>
      <c r="AF122" s="86"/>
      <c r="AG122" s="86" t="s">
        <v>160</v>
      </c>
      <c r="AH122" s="87"/>
      <c r="AI122" s="87"/>
      <c r="AJ122" s="87"/>
      <c r="AK122" s="87"/>
      <c r="AL122" s="87">
        <v>50</v>
      </c>
      <c r="AM122" s="87">
        <v>50</v>
      </c>
      <c r="AN122" s="87">
        <v>0</v>
      </c>
      <c r="AO122" s="87">
        <v>0</v>
      </c>
      <c r="AP122" s="87">
        <v>150</v>
      </c>
      <c r="AQ122" s="87">
        <v>100</v>
      </c>
      <c r="AR122" s="87">
        <v>50</v>
      </c>
      <c r="AS122" s="87">
        <v>0</v>
      </c>
      <c r="AT122" s="87">
        <v>0</v>
      </c>
      <c r="AU122" s="87">
        <v>50</v>
      </c>
      <c r="AV122" s="87">
        <v>50</v>
      </c>
      <c r="AW122" s="87">
        <v>50</v>
      </c>
      <c r="AX122" s="87"/>
      <c r="AY122" s="88">
        <f t="shared" si="35"/>
        <v>550</v>
      </c>
      <c r="AZ122" s="88">
        <v>800</v>
      </c>
      <c r="BA122" s="88">
        <v>800</v>
      </c>
      <c r="BB122" s="89"/>
    </row>
    <row r="123" spans="1:54" ht="15" thickBot="1" x14ac:dyDescent="0.35">
      <c r="A123" s="50"/>
      <c r="B123" s="50"/>
      <c r="C123" s="50"/>
      <c r="D123" s="50"/>
      <c r="E123" s="50"/>
      <c r="F123" s="50"/>
      <c r="G123" s="50" t="s">
        <v>161</v>
      </c>
      <c r="H123" s="52">
        <v>0</v>
      </c>
      <c r="I123" s="52">
        <v>183.75</v>
      </c>
      <c r="J123" s="52">
        <v>35.770000000000003</v>
      </c>
      <c r="K123" s="52">
        <v>103.47</v>
      </c>
      <c r="L123" s="52">
        <v>67.41</v>
      </c>
      <c r="M123" s="52">
        <v>128.22</v>
      </c>
      <c r="N123" s="52">
        <v>24.99</v>
      </c>
      <c r="O123" s="52">
        <v>83.79</v>
      </c>
      <c r="P123" s="52">
        <v>108.78</v>
      </c>
      <c r="Q123" s="52">
        <v>122.76</v>
      </c>
      <c r="R123" s="52">
        <v>0</v>
      </c>
      <c r="S123" s="52">
        <v>250</v>
      </c>
      <c r="T123" s="52"/>
      <c r="U123" s="52">
        <f t="shared" si="34"/>
        <v>1108.94</v>
      </c>
      <c r="V123" s="69">
        <v>1600</v>
      </c>
      <c r="W123" s="69">
        <v>1600</v>
      </c>
      <c r="AB123" s="86"/>
      <c r="AC123" s="86"/>
      <c r="AD123" s="86"/>
      <c r="AE123" s="86"/>
      <c r="AF123" s="86"/>
      <c r="AG123" s="86" t="s">
        <v>161</v>
      </c>
      <c r="AH123" s="90"/>
      <c r="AI123" s="90"/>
      <c r="AJ123" s="90"/>
      <c r="AK123" s="90"/>
      <c r="AL123" s="90">
        <v>135.31</v>
      </c>
      <c r="AM123" s="90">
        <v>0</v>
      </c>
      <c r="AN123" s="90">
        <v>93.71</v>
      </c>
      <c r="AO123" s="90">
        <v>72.73</v>
      </c>
      <c r="AP123" s="90">
        <v>304.77999999999997</v>
      </c>
      <c r="AQ123" s="90">
        <v>41.26</v>
      </c>
      <c r="AR123" s="90">
        <v>24.99</v>
      </c>
      <c r="AS123" s="90">
        <v>87.21</v>
      </c>
      <c r="AT123" s="90">
        <v>51.92</v>
      </c>
      <c r="AU123" s="90">
        <v>91.27</v>
      </c>
      <c r="AV123" s="90">
        <v>51.85</v>
      </c>
      <c r="AW123" s="90">
        <v>209.36</v>
      </c>
      <c r="AX123" s="90"/>
      <c r="AY123" s="91">
        <f t="shared" si="35"/>
        <v>1164.3900000000001</v>
      </c>
      <c r="AZ123" s="91">
        <v>1600</v>
      </c>
      <c r="BA123" s="91">
        <v>1600</v>
      </c>
      <c r="BB123" s="92"/>
    </row>
    <row r="124" spans="1:54" x14ac:dyDescent="0.3">
      <c r="A124" s="50"/>
      <c r="B124" s="50"/>
      <c r="C124" s="50"/>
      <c r="D124" s="50"/>
      <c r="E124" s="50"/>
      <c r="F124" s="50" t="s">
        <v>162</v>
      </c>
      <c r="G124" s="50"/>
      <c r="H124" s="51">
        <f t="shared" ref="H124:S124" si="36">ROUND(SUM(H92:H123),5)</f>
        <v>4493.18</v>
      </c>
      <c r="I124" s="51">
        <f t="shared" si="36"/>
        <v>7609.06</v>
      </c>
      <c r="J124" s="51">
        <f t="shared" si="36"/>
        <v>8331.69</v>
      </c>
      <c r="K124" s="51">
        <f t="shared" si="36"/>
        <v>17856.61</v>
      </c>
      <c r="L124" s="51">
        <f t="shared" si="36"/>
        <v>7525.12</v>
      </c>
      <c r="M124" s="51">
        <f t="shared" si="36"/>
        <v>7691.51</v>
      </c>
      <c r="N124" s="51">
        <f t="shared" si="36"/>
        <v>7263.43</v>
      </c>
      <c r="O124" s="51">
        <f t="shared" si="36"/>
        <v>4806.33</v>
      </c>
      <c r="P124" s="51">
        <f t="shared" si="36"/>
        <v>5613.65</v>
      </c>
      <c r="Q124" s="51">
        <f t="shared" si="36"/>
        <v>6859.47</v>
      </c>
      <c r="R124" s="51">
        <f t="shared" si="36"/>
        <v>3953.63</v>
      </c>
      <c r="S124" s="51">
        <f t="shared" si="36"/>
        <v>8530.7999999999993</v>
      </c>
      <c r="T124" s="51"/>
      <c r="U124" s="51">
        <f t="shared" si="34"/>
        <v>90534.48</v>
      </c>
      <c r="V124" s="51">
        <f>ROUND(SUM(V92:V123),5)</f>
        <v>172150</v>
      </c>
      <c r="W124" s="51">
        <f>ROUND(SUM(W92:W123),5)</f>
        <v>177950</v>
      </c>
      <c r="AB124" s="86"/>
      <c r="AC124" s="86"/>
      <c r="AD124" s="86"/>
      <c r="AE124" s="86"/>
      <c r="AF124" s="86" t="s">
        <v>162</v>
      </c>
      <c r="AG124" s="86"/>
      <c r="AH124" s="87"/>
      <c r="AI124" s="87"/>
      <c r="AJ124" s="87"/>
      <c r="AK124" s="87"/>
      <c r="AL124" s="87">
        <f t="shared" ref="AL124:AW124" si="37">ROUND(SUM(AL92:AL123),5)</f>
        <v>4929.17</v>
      </c>
      <c r="AM124" s="87">
        <f t="shared" si="37"/>
        <v>14242.92</v>
      </c>
      <c r="AN124" s="87">
        <f t="shared" si="37"/>
        <v>8152.11</v>
      </c>
      <c r="AO124" s="87">
        <f t="shared" si="37"/>
        <v>4982.71</v>
      </c>
      <c r="AP124" s="87">
        <f t="shared" si="37"/>
        <v>6733.26</v>
      </c>
      <c r="AQ124" s="87">
        <f t="shared" si="37"/>
        <v>7174.94</v>
      </c>
      <c r="AR124" s="87">
        <f t="shared" si="37"/>
        <v>5153.53</v>
      </c>
      <c r="AS124" s="87">
        <f t="shared" si="37"/>
        <v>4437.3500000000004</v>
      </c>
      <c r="AT124" s="87">
        <f t="shared" si="37"/>
        <v>6705.44</v>
      </c>
      <c r="AU124" s="87">
        <f t="shared" si="37"/>
        <v>6301.27</v>
      </c>
      <c r="AV124" s="87">
        <f t="shared" si="37"/>
        <v>6681.79</v>
      </c>
      <c r="AW124" s="87">
        <f t="shared" si="37"/>
        <v>8959.83</v>
      </c>
      <c r="AX124" s="87"/>
      <c r="AY124" s="88">
        <f t="shared" si="35"/>
        <v>84454.32</v>
      </c>
      <c r="AZ124" s="88">
        <f>ROUND(SUM(AZ92:AZ123),5)</f>
        <v>171350</v>
      </c>
      <c r="BA124" s="88">
        <f>ROUND(SUM(BA92:BA123),5)</f>
        <v>172150</v>
      </c>
      <c r="BB124" s="89"/>
    </row>
    <row r="125" spans="1:54" x14ac:dyDescent="0.3">
      <c r="A125" s="50"/>
      <c r="B125" s="50"/>
      <c r="C125" s="50"/>
      <c r="D125" s="50"/>
      <c r="E125" s="50"/>
      <c r="F125" s="50"/>
      <c r="G125" s="50"/>
      <c r="H125" s="51"/>
      <c r="I125" s="51"/>
      <c r="J125" s="51"/>
      <c r="K125" s="51"/>
      <c r="L125" s="51"/>
      <c r="M125" s="51"/>
      <c r="N125" s="51"/>
      <c r="O125" s="51"/>
      <c r="P125" s="51"/>
      <c r="Q125" s="51"/>
      <c r="R125" s="51"/>
      <c r="S125" s="51"/>
      <c r="T125" s="51"/>
      <c r="U125" s="51"/>
      <c r="V125" s="51"/>
      <c r="W125" s="51"/>
      <c r="AB125" s="86"/>
      <c r="AC125" s="86"/>
      <c r="AD125" s="86"/>
      <c r="AE125" s="86"/>
      <c r="AF125" s="86"/>
      <c r="AG125" s="86"/>
      <c r="AH125" s="87"/>
      <c r="AI125" s="87"/>
      <c r="AJ125" s="87"/>
      <c r="AK125" s="87"/>
      <c r="AL125" s="87"/>
      <c r="AM125" s="87"/>
      <c r="AN125" s="87"/>
      <c r="AO125" s="87"/>
      <c r="AP125" s="87"/>
      <c r="AQ125" s="87"/>
      <c r="AR125" s="87"/>
      <c r="AS125" s="87"/>
      <c r="AT125" s="87"/>
      <c r="AU125" s="87"/>
      <c r="AV125" s="87"/>
      <c r="AW125" s="87"/>
      <c r="AX125" s="87"/>
      <c r="AY125" s="88"/>
      <c r="AZ125" s="88"/>
      <c r="BA125" s="88"/>
      <c r="BB125" s="89"/>
    </row>
    <row r="126" spans="1:54" x14ac:dyDescent="0.3">
      <c r="A126" s="50"/>
      <c r="B126" s="50"/>
      <c r="C126" s="50"/>
      <c r="D126" s="50"/>
      <c r="E126" s="50"/>
      <c r="F126" s="50"/>
      <c r="G126" s="50"/>
      <c r="H126" s="51"/>
      <c r="I126" s="51"/>
      <c r="J126" s="51"/>
      <c r="K126" s="51"/>
      <c r="L126" s="51"/>
      <c r="M126" s="51"/>
      <c r="N126" s="51"/>
      <c r="O126" s="51"/>
      <c r="P126" s="51"/>
      <c r="Q126" s="51"/>
      <c r="R126" s="51"/>
      <c r="S126" s="51"/>
      <c r="T126" s="51"/>
      <c r="U126" s="51"/>
      <c r="V126" s="51"/>
      <c r="W126" s="51"/>
      <c r="AB126" s="86"/>
      <c r="AC126" s="86"/>
      <c r="AD126" s="86"/>
      <c r="AE126" s="86"/>
      <c r="AF126" s="86"/>
      <c r="AG126" s="86"/>
      <c r="AH126" s="87"/>
      <c r="AI126" s="87"/>
      <c r="AJ126" s="87"/>
      <c r="AK126" s="87"/>
      <c r="AL126" s="87"/>
      <c r="AM126" s="87"/>
      <c r="AN126" s="87"/>
      <c r="AO126" s="87"/>
      <c r="AP126" s="87"/>
      <c r="AQ126" s="87"/>
      <c r="AR126" s="87"/>
      <c r="AS126" s="87"/>
      <c r="AT126" s="87"/>
      <c r="AU126" s="87"/>
      <c r="AV126" s="87"/>
      <c r="AW126" s="87"/>
      <c r="AX126" s="87"/>
      <c r="AY126" s="88"/>
      <c r="AZ126" s="88"/>
      <c r="BA126" s="88"/>
      <c r="BB126" s="89"/>
    </row>
    <row r="127" spans="1:54" x14ac:dyDescent="0.3">
      <c r="A127" s="50"/>
      <c r="B127" s="50"/>
      <c r="C127" s="50"/>
      <c r="D127" s="50"/>
      <c r="E127" s="50"/>
      <c r="F127" s="50"/>
      <c r="G127" s="50"/>
      <c r="H127" s="51"/>
      <c r="I127" s="51"/>
      <c r="J127" s="51"/>
      <c r="K127" s="51"/>
      <c r="L127" s="51"/>
      <c r="M127" s="51"/>
      <c r="N127" s="51"/>
      <c r="O127" s="51"/>
      <c r="P127" s="51"/>
      <c r="Q127" s="51"/>
      <c r="R127" s="51"/>
      <c r="S127" s="51"/>
      <c r="T127" s="51"/>
      <c r="U127" s="51"/>
      <c r="V127" s="51"/>
      <c r="W127" s="51"/>
      <c r="AB127" s="86"/>
      <c r="AC127" s="86"/>
      <c r="AD127" s="86"/>
      <c r="AE127" s="86"/>
      <c r="AF127" s="86"/>
      <c r="AG127" s="86"/>
      <c r="AH127" s="87"/>
      <c r="AI127" s="87"/>
      <c r="AJ127" s="87"/>
      <c r="AK127" s="87"/>
      <c r="AL127" s="87"/>
      <c r="AM127" s="87"/>
      <c r="AN127" s="87"/>
      <c r="AO127" s="87"/>
      <c r="AP127" s="87"/>
      <c r="AQ127" s="87"/>
      <c r="AR127" s="87"/>
      <c r="AS127" s="87"/>
      <c r="AT127" s="87"/>
      <c r="AU127" s="87"/>
      <c r="AV127" s="87"/>
      <c r="AW127" s="87"/>
      <c r="AX127" s="87"/>
      <c r="AY127" s="88"/>
      <c r="AZ127" s="88"/>
      <c r="BA127" s="88"/>
      <c r="BB127" s="89"/>
    </row>
    <row r="128" spans="1:54" x14ac:dyDescent="0.3">
      <c r="A128" s="50"/>
      <c r="B128" s="50"/>
      <c r="C128" s="50"/>
      <c r="D128" s="50"/>
      <c r="E128" s="50"/>
      <c r="F128" s="50"/>
      <c r="G128" s="50"/>
      <c r="H128" s="51"/>
      <c r="I128" s="51"/>
      <c r="J128" s="51"/>
      <c r="K128" s="51"/>
      <c r="L128" s="51"/>
      <c r="M128" s="51"/>
      <c r="N128" s="51"/>
      <c r="O128" s="51"/>
      <c r="P128" s="51"/>
      <c r="Q128" s="51"/>
      <c r="R128" s="51"/>
      <c r="S128" s="51"/>
      <c r="T128" s="51"/>
      <c r="U128" s="51"/>
      <c r="V128" s="51"/>
      <c r="W128" s="51"/>
      <c r="AB128" s="86"/>
      <c r="AC128" s="86"/>
      <c r="AD128" s="86"/>
      <c r="AE128" s="86"/>
      <c r="AF128" s="86"/>
      <c r="AG128" s="86"/>
      <c r="AH128" s="87"/>
      <c r="AI128" s="87"/>
      <c r="AJ128" s="87"/>
      <c r="AK128" s="87"/>
      <c r="AL128" s="87"/>
      <c r="AM128" s="87"/>
      <c r="AN128" s="87"/>
      <c r="AO128" s="87"/>
      <c r="AP128" s="87"/>
      <c r="AQ128" s="87"/>
      <c r="AR128" s="87"/>
      <c r="AS128" s="87"/>
      <c r="AT128" s="87"/>
      <c r="AU128" s="87"/>
      <c r="AV128" s="87"/>
      <c r="AW128" s="87"/>
      <c r="AX128" s="87"/>
      <c r="AY128" s="88"/>
      <c r="AZ128" s="88"/>
      <c r="BA128" s="88"/>
      <c r="BB128" s="89"/>
    </row>
    <row r="129" spans="1:54" x14ac:dyDescent="0.3">
      <c r="A129" s="50"/>
      <c r="B129" s="50"/>
      <c r="C129" s="50"/>
      <c r="D129" s="50"/>
      <c r="E129" s="50"/>
      <c r="F129" s="50"/>
      <c r="G129" s="50"/>
      <c r="H129" s="51"/>
      <c r="I129" s="51"/>
      <c r="J129" s="51"/>
      <c r="K129" s="51"/>
      <c r="L129" s="51"/>
      <c r="M129" s="51"/>
      <c r="N129" s="51"/>
      <c r="O129" s="51"/>
      <c r="P129" s="51"/>
      <c r="Q129" s="51"/>
      <c r="R129" s="51"/>
      <c r="S129" s="51"/>
      <c r="T129" s="51"/>
      <c r="U129" s="51"/>
      <c r="V129" s="51"/>
      <c r="W129" s="51"/>
      <c r="AB129" s="86"/>
      <c r="AC129" s="86"/>
      <c r="AD129" s="86"/>
      <c r="AE129" s="86"/>
      <c r="AF129" s="86"/>
      <c r="AG129" s="86"/>
      <c r="AH129" s="87"/>
      <c r="AI129" s="87"/>
      <c r="AJ129" s="87"/>
      <c r="AK129" s="87"/>
      <c r="AL129" s="87"/>
      <c r="AM129" s="87"/>
      <c r="AN129" s="87"/>
      <c r="AO129" s="87"/>
      <c r="AP129" s="87"/>
      <c r="AQ129" s="87"/>
      <c r="AR129" s="87"/>
      <c r="AS129" s="87"/>
      <c r="AT129" s="87"/>
      <c r="AU129" s="87"/>
      <c r="AV129" s="87"/>
      <c r="AW129" s="87"/>
      <c r="AX129" s="87"/>
      <c r="AY129" s="88"/>
      <c r="AZ129" s="88"/>
      <c r="BA129" s="88"/>
      <c r="BB129" s="89"/>
    </row>
    <row r="130" spans="1:54" x14ac:dyDescent="0.3">
      <c r="A130" s="50"/>
      <c r="B130" s="50"/>
      <c r="C130" s="50"/>
      <c r="D130" s="50"/>
      <c r="E130" s="50"/>
      <c r="F130" s="50"/>
      <c r="G130" s="50"/>
      <c r="H130" s="51"/>
      <c r="I130" s="51"/>
      <c r="J130" s="51"/>
      <c r="K130" s="51"/>
      <c r="L130" s="51"/>
      <c r="M130" s="51"/>
      <c r="N130" s="51"/>
      <c r="O130" s="51"/>
      <c r="P130" s="51"/>
      <c r="Q130" s="51"/>
      <c r="R130" s="51"/>
      <c r="S130" s="51"/>
      <c r="T130" s="51"/>
      <c r="U130" s="51"/>
      <c r="V130" s="51"/>
      <c r="W130" s="51"/>
      <c r="AB130" s="86"/>
      <c r="AC130" s="86"/>
      <c r="AD130" s="86"/>
      <c r="AE130" s="86"/>
      <c r="AF130" s="86"/>
      <c r="AG130" s="86"/>
      <c r="AH130" s="87"/>
      <c r="AI130" s="87"/>
      <c r="AJ130" s="87"/>
      <c r="AK130" s="87"/>
      <c r="AL130" s="87"/>
      <c r="AM130" s="87"/>
      <c r="AN130" s="87"/>
      <c r="AO130" s="87"/>
      <c r="AP130" s="87"/>
      <c r="AQ130" s="87"/>
      <c r="AR130" s="87"/>
      <c r="AS130" s="87"/>
      <c r="AT130" s="87"/>
      <c r="AU130" s="87"/>
      <c r="AV130" s="87"/>
      <c r="AW130" s="87"/>
      <c r="AX130" s="87"/>
      <c r="AY130" s="88"/>
      <c r="AZ130" s="88"/>
      <c r="BA130" s="88"/>
      <c r="BB130" s="89"/>
    </row>
    <row r="131" spans="1:54" x14ac:dyDescent="0.3">
      <c r="A131" s="50"/>
      <c r="B131" s="50"/>
      <c r="C131" s="50"/>
      <c r="D131" s="50"/>
      <c r="E131" s="50"/>
      <c r="F131" s="50"/>
      <c r="G131" s="50"/>
      <c r="H131" s="51"/>
      <c r="I131" s="51"/>
      <c r="J131" s="51"/>
      <c r="K131" s="51"/>
      <c r="L131" s="51"/>
      <c r="M131" s="51"/>
      <c r="N131" s="51"/>
      <c r="O131" s="51"/>
      <c r="P131" s="51"/>
      <c r="Q131" s="51"/>
      <c r="R131" s="51"/>
      <c r="S131" s="51"/>
      <c r="T131" s="51"/>
      <c r="U131" s="51"/>
      <c r="V131" s="51"/>
      <c r="W131" s="51"/>
      <c r="AB131" s="86"/>
      <c r="AC131" s="86"/>
      <c r="AD131" s="86"/>
      <c r="AE131" s="86"/>
      <c r="AF131" s="86"/>
      <c r="AG131" s="86"/>
      <c r="AH131" s="87"/>
      <c r="AI131" s="87"/>
      <c r="AJ131" s="87"/>
      <c r="AK131" s="87"/>
      <c r="AL131" s="87"/>
      <c r="AM131" s="87"/>
      <c r="AN131" s="87"/>
      <c r="AO131" s="87"/>
      <c r="AP131" s="87"/>
      <c r="AQ131" s="87"/>
      <c r="AR131" s="87"/>
      <c r="AS131" s="87"/>
      <c r="AT131" s="87"/>
      <c r="AU131" s="87"/>
      <c r="AV131" s="87"/>
      <c r="AW131" s="87"/>
      <c r="AX131" s="87"/>
      <c r="AY131" s="88"/>
      <c r="AZ131" s="88"/>
      <c r="BA131" s="88"/>
      <c r="BB131" s="89"/>
    </row>
    <row r="132" spans="1:54" x14ac:dyDescent="0.3">
      <c r="A132" s="50"/>
      <c r="B132" s="50"/>
      <c r="C132" s="50"/>
      <c r="D132" s="50"/>
      <c r="E132" s="50"/>
      <c r="F132" s="50"/>
      <c r="G132" s="50"/>
      <c r="H132" s="51"/>
      <c r="I132" s="51"/>
      <c r="J132" s="51"/>
      <c r="K132" s="51"/>
      <c r="L132" s="51"/>
      <c r="M132" s="51"/>
      <c r="N132" s="51"/>
      <c r="O132" s="51"/>
      <c r="P132" s="51"/>
      <c r="Q132" s="51"/>
      <c r="R132" s="51"/>
      <c r="S132" s="51"/>
      <c r="T132" s="51"/>
      <c r="U132" s="51"/>
      <c r="V132" s="51"/>
      <c r="W132" s="51"/>
      <c r="AB132" s="86"/>
      <c r="AC132" s="86"/>
      <c r="AD132" s="86"/>
      <c r="AE132" s="86"/>
      <c r="AF132" s="86"/>
      <c r="AG132" s="86"/>
      <c r="AH132" s="87"/>
      <c r="AI132" s="87"/>
      <c r="AJ132" s="87"/>
      <c r="AK132" s="87"/>
      <c r="AL132" s="87"/>
      <c r="AM132" s="87"/>
      <c r="AN132" s="87"/>
      <c r="AO132" s="87"/>
      <c r="AP132" s="87"/>
      <c r="AQ132" s="87"/>
      <c r="AR132" s="87"/>
      <c r="AS132" s="87"/>
      <c r="AT132" s="87"/>
      <c r="AU132" s="87"/>
      <c r="AV132" s="87"/>
      <c r="AW132" s="87"/>
      <c r="AX132" s="87"/>
      <c r="AY132" s="88"/>
      <c r="AZ132" s="88"/>
      <c r="BA132" s="88"/>
      <c r="BB132" s="89"/>
    </row>
    <row r="133" spans="1:54" x14ac:dyDescent="0.3">
      <c r="A133" s="50"/>
      <c r="B133" s="50"/>
      <c r="C133" s="50"/>
      <c r="D133" s="50"/>
      <c r="E133" s="50"/>
      <c r="F133" s="50"/>
      <c r="G133" s="50"/>
      <c r="H133" s="51"/>
      <c r="I133" s="51"/>
      <c r="J133" s="51"/>
      <c r="K133" s="51"/>
      <c r="L133" s="51"/>
      <c r="M133" s="51"/>
      <c r="N133" s="51"/>
      <c r="O133" s="51"/>
      <c r="P133" s="51"/>
      <c r="Q133" s="51"/>
      <c r="R133" s="51"/>
      <c r="S133" s="51"/>
      <c r="T133" s="51"/>
      <c r="U133" s="51"/>
      <c r="V133" s="51"/>
      <c r="W133" s="51"/>
      <c r="AB133" s="86"/>
      <c r="AC133" s="86"/>
      <c r="AD133" s="86"/>
      <c r="AE133" s="86"/>
      <c r="AF133" s="86"/>
      <c r="AG133" s="86"/>
      <c r="AH133" s="87"/>
      <c r="AI133" s="87"/>
      <c r="AJ133" s="87"/>
      <c r="AK133" s="87"/>
      <c r="AL133" s="87"/>
      <c r="AM133" s="87"/>
      <c r="AN133" s="87"/>
      <c r="AO133" s="87"/>
      <c r="AP133" s="87"/>
      <c r="AQ133" s="87"/>
      <c r="AR133" s="87"/>
      <c r="AS133" s="87"/>
      <c r="AT133" s="87"/>
      <c r="AU133" s="87"/>
      <c r="AV133" s="87"/>
      <c r="AW133" s="87"/>
      <c r="AX133" s="87"/>
      <c r="AY133" s="88"/>
      <c r="AZ133" s="88"/>
      <c r="BA133" s="88"/>
      <c r="BB133" s="89"/>
    </row>
    <row r="134" spans="1:54" x14ac:dyDescent="0.3">
      <c r="A134" s="50"/>
      <c r="B134" s="50"/>
      <c r="C134" s="50"/>
      <c r="D134" s="50"/>
      <c r="E134" s="50"/>
      <c r="F134" s="50"/>
      <c r="G134" s="50"/>
      <c r="H134" s="51"/>
      <c r="I134" s="51"/>
      <c r="J134" s="51"/>
      <c r="K134" s="51"/>
      <c r="L134" s="51"/>
      <c r="M134" s="51"/>
      <c r="N134" s="51"/>
      <c r="O134" s="51"/>
      <c r="P134" s="51"/>
      <c r="Q134" s="51"/>
      <c r="R134" s="51"/>
      <c r="S134" s="51"/>
      <c r="T134" s="51"/>
      <c r="U134" s="51"/>
      <c r="V134" s="51"/>
      <c r="W134" s="51"/>
      <c r="AB134" s="86"/>
      <c r="AC134" s="86"/>
      <c r="AD134" s="86"/>
      <c r="AE134" s="86"/>
      <c r="AF134" s="86"/>
      <c r="AG134" s="86"/>
      <c r="AH134" s="87"/>
      <c r="AI134" s="87"/>
      <c r="AJ134" s="87"/>
      <c r="AK134" s="87"/>
      <c r="AL134" s="87"/>
      <c r="AM134" s="87"/>
      <c r="AN134" s="87"/>
      <c r="AO134" s="87"/>
      <c r="AP134" s="87"/>
      <c r="AQ134" s="87"/>
      <c r="AR134" s="87"/>
      <c r="AS134" s="87"/>
      <c r="AT134" s="87"/>
      <c r="AU134" s="87"/>
      <c r="AV134" s="87"/>
      <c r="AW134" s="87"/>
      <c r="AX134" s="87"/>
      <c r="AY134" s="88"/>
      <c r="AZ134" s="88"/>
      <c r="BA134" s="88"/>
      <c r="BB134" s="89"/>
    </row>
    <row r="135" spans="1:54" x14ac:dyDescent="0.3">
      <c r="A135" s="50"/>
      <c r="B135" s="50"/>
      <c r="C135" s="50"/>
      <c r="D135" s="50"/>
      <c r="E135" s="50"/>
      <c r="F135" s="50"/>
      <c r="G135" s="50"/>
      <c r="H135" s="51"/>
      <c r="I135" s="51"/>
      <c r="J135" s="51"/>
      <c r="K135" s="51"/>
      <c r="L135" s="51"/>
      <c r="M135" s="51"/>
      <c r="N135" s="51"/>
      <c r="O135" s="51"/>
      <c r="P135" s="51"/>
      <c r="Q135" s="51"/>
      <c r="R135" s="51"/>
      <c r="S135" s="51"/>
      <c r="T135" s="51"/>
      <c r="U135" s="51"/>
      <c r="V135" s="51"/>
      <c r="W135" s="51"/>
      <c r="AB135" s="86"/>
      <c r="AC135" s="86"/>
      <c r="AD135" s="86"/>
      <c r="AE135" s="86"/>
      <c r="AF135" s="86"/>
      <c r="AG135" s="86"/>
      <c r="AH135" s="87"/>
      <c r="AI135" s="87"/>
      <c r="AJ135" s="87"/>
      <c r="AK135" s="87"/>
      <c r="AL135" s="87"/>
      <c r="AM135" s="87"/>
      <c r="AN135" s="87"/>
      <c r="AO135" s="87"/>
      <c r="AP135" s="87"/>
      <c r="AQ135" s="87"/>
      <c r="AR135" s="87"/>
      <c r="AS135" s="87"/>
      <c r="AT135" s="87"/>
      <c r="AU135" s="87"/>
      <c r="AV135" s="87"/>
      <c r="AW135" s="87"/>
      <c r="AX135" s="87"/>
      <c r="AY135" s="88"/>
      <c r="AZ135" s="88"/>
      <c r="BA135" s="88"/>
      <c r="BB135" s="89"/>
    </row>
    <row r="136" spans="1:54" x14ac:dyDescent="0.3">
      <c r="A136" s="50"/>
      <c r="B136" s="50"/>
      <c r="C136" s="50"/>
      <c r="D136" s="50"/>
      <c r="E136" s="50"/>
      <c r="F136" s="50" t="s">
        <v>163</v>
      </c>
      <c r="G136" s="50"/>
      <c r="H136" s="51"/>
      <c r="I136" s="51"/>
      <c r="J136" s="51"/>
      <c r="K136" s="51"/>
      <c r="L136" s="51"/>
      <c r="M136" s="51"/>
      <c r="N136" s="51"/>
      <c r="O136" s="51"/>
      <c r="P136" s="51"/>
      <c r="Q136" s="51"/>
      <c r="R136" s="51"/>
      <c r="S136" s="51"/>
      <c r="T136" s="51"/>
      <c r="U136" s="51"/>
      <c r="V136" s="51"/>
      <c r="W136" s="51"/>
      <c r="AB136" s="86"/>
      <c r="AC136" s="86"/>
      <c r="AD136" s="86"/>
      <c r="AE136" s="86"/>
      <c r="AF136" s="86" t="s">
        <v>163</v>
      </c>
      <c r="AG136" s="86"/>
      <c r="AH136" s="87"/>
      <c r="AI136" s="87"/>
      <c r="AJ136" s="87"/>
      <c r="AK136" s="87"/>
      <c r="AL136" s="87"/>
      <c r="AM136" s="87"/>
      <c r="AN136" s="87"/>
      <c r="AO136" s="87"/>
      <c r="AP136" s="87"/>
      <c r="AQ136" s="87"/>
      <c r="AR136" s="87"/>
      <c r="AS136" s="87"/>
      <c r="AT136" s="87"/>
      <c r="AU136" s="87"/>
      <c r="AV136" s="87"/>
      <c r="AW136" s="87"/>
      <c r="AX136" s="87"/>
      <c r="AY136" s="88"/>
      <c r="AZ136" s="88"/>
      <c r="BA136" s="88"/>
      <c r="BB136" s="89"/>
    </row>
    <row r="137" spans="1:54" x14ac:dyDescent="0.3">
      <c r="A137" s="50"/>
      <c r="B137" s="50"/>
      <c r="C137" s="50"/>
      <c r="D137" s="50"/>
      <c r="E137" s="50"/>
      <c r="F137" s="50"/>
      <c r="G137" s="50" t="s">
        <v>164</v>
      </c>
      <c r="H137" s="51">
        <v>1792.61</v>
      </c>
      <c r="I137" s="51">
        <v>0</v>
      </c>
      <c r="J137" s="51">
        <v>0</v>
      </c>
      <c r="K137" s="51">
        <v>387.88</v>
      </c>
      <c r="L137" s="51">
        <f>2523.37-1900</f>
        <v>623.36999999999989</v>
      </c>
      <c r="M137" s="51">
        <v>2521.58</v>
      </c>
      <c r="N137" s="51">
        <v>2451.31</v>
      </c>
      <c r="O137" s="51">
        <v>0</v>
      </c>
      <c r="P137" s="51">
        <v>223.58</v>
      </c>
      <c r="Q137" s="51">
        <v>0</v>
      </c>
      <c r="R137" s="51">
        <v>989.58</v>
      </c>
      <c r="S137" s="51">
        <v>190</v>
      </c>
      <c r="T137" s="51"/>
      <c r="U137" s="51">
        <f t="shared" ref="U137:U149" si="38">ROUND(SUM(H137:T137),5)</f>
        <v>9179.91</v>
      </c>
      <c r="V137" s="67">
        <v>10000</v>
      </c>
      <c r="W137" s="67">
        <v>15000</v>
      </c>
      <c r="AB137" s="86"/>
      <c r="AC137" s="86"/>
      <c r="AD137" s="86"/>
      <c r="AE137" s="86"/>
      <c r="AF137" s="86"/>
      <c r="AG137" s="86" t="s">
        <v>164</v>
      </c>
      <c r="AH137" s="87"/>
      <c r="AI137" s="87"/>
      <c r="AJ137" s="87"/>
      <c r="AK137" s="87"/>
      <c r="AL137" s="87">
        <v>0</v>
      </c>
      <c r="AM137" s="87">
        <v>0</v>
      </c>
      <c r="AN137" s="87">
        <v>256.27</v>
      </c>
      <c r="AO137" s="87">
        <v>0</v>
      </c>
      <c r="AP137" s="87">
        <v>309.95</v>
      </c>
      <c r="AQ137" s="87">
        <v>0</v>
      </c>
      <c r="AR137" s="87">
        <v>0</v>
      </c>
      <c r="AS137" s="87">
        <v>100</v>
      </c>
      <c r="AT137" s="87">
        <v>0</v>
      </c>
      <c r="AU137" s="87">
        <v>0</v>
      </c>
      <c r="AV137" s="87">
        <v>0</v>
      </c>
      <c r="AW137" s="87">
        <v>0</v>
      </c>
      <c r="AX137" s="87"/>
      <c r="AY137" s="88">
        <f t="shared" ref="AY137:AY149" si="39">ROUND(SUM(AH137:AX137),5)</f>
        <v>666.22</v>
      </c>
      <c r="AZ137" s="88">
        <v>10000</v>
      </c>
      <c r="BA137" s="88">
        <v>10000</v>
      </c>
      <c r="BB137" s="89"/>
    </row>
    <row r="138" spans="1:54" x14ac:dyDescent="0.3">
      <c r="A138" s="50"/>
      <c r="B138" s="50"/>
      <c r="C138" s="50"/>
      <c r="D138" s="50"/>
      <c r="E138" s="50"/>
      <c r="F138" s="50"/>
      <c r="G138" s="50" t="s">
        <v>165</v>
      </c>
      <c r="H138" s="51">
        <v>0</v>
      </c>
      <c r="I138" s="51">
        <v>0</v>
      </c>
      <c r="J138" s="51">
        <v>0</v>
      </c>
      <c r="K138" s="51">
        <v>0</v>
      </c>
      <c r="L138" s="51">
        <v>0</v>
      </c>
      <c r="M138" s="51">
        <v>0</v>
      </c>
      <c r="N138" s="51">
        <v>0</v>
      </c>
      <c r="O138" s="51">
        <v>0</v>
      </c>
      <c r="P138" s="51">
        <v>0</v>
      </c>
      <c r="Q138" s="51">
        <v>0</v>
      </c>
      <c r="R138" s="51">
        <v>0</v>
      </c>
      <c r="S138" s="51">
        <v>0</v>
      </c>
      <c r="T138" s="51"/>
      <c r="U138" s="51">
        <f t="shared" si="38"/>
        <v>0</v>
      </c>
      <c r="V138" s="67">
        <v>2500</v>
      </c>
      <c r="W138" s="67">
        <v>2500</v>
      </c>
      <c r="AB138" s="86"/>
      <c r="AC138" s="86"/>
      <c r="AD138" s="86"/>
      <c r="AE138" s="86"/>
      <c r="AF138" s="86"/>
      <c r="AG138" s="86" t="s">
        <v>165</v>
      </c>
      <c r="AH138" s="87"/>
      <c r="AI138" s="87"/>
      <c r="AJ138" s="87"/>
      <c r="AK138" s="87"/>
      <c r="AL138" s="87">
        <v>260</v>
      </c>
      <c r="AM138" s="87">
        <v>0</v>
      </c>
      <c r="AN138" s="87">
        <v>0</v>
      </c>
      <c r="AO138" s="87">
        <v>0</v>
      </c>
      <c r="AP138" s="87">
        <v>0</v>
      </c>
      <c r="AQ138" s="87">
        <v>0</v>
      </c>
      <c r="AR138" s="87">
        <v>55.85</v>
      </c>
      <c r="AS138" s="87">
        <v>0</v>
      </c>
      <c r="AT138" s="87">
        <v>675</v>
      </c>
      <c r="AU138" s="87">
        <v>1525</v>
      </c>
      <c r="AV138" s="87">
        <v>591</v>
      </c>
      <c r="AW138" s="87">
        <v>0</v>
      </c>
      <c r="AX138" s="87"/>
      <c r="AY138" s="88">
        <f t="shared" si="39"/>
        <v>3106.85</v>
      </c>
      <c r="AZ138" s="88">
        <v>2500</v>
      </c>
      <c r="BA138" s="88">
        <v>2500</v>
      </c>
      <c r="BB138" s="89"/>
    </row>
    <row r="139" spans="1:54" x14ac:dyDescent="0.3">
      <c r="A139" s="50"/>
      <c r="B139" s="50"/>
      <c r="C139" s="50"/>
      <c r="D139" s="50"/>
      <c r="E139" s="50"/>
      <c r="F139" s="50"/>
      <c r="G139" s="50" t="s">
        <v>166</v>
      </c>
      <c r="H139" s="51">
        <v>2668.6</v>
      </c>
      <c r="I139" s="51">
        <v>61</v>
      </c>
      <c r="J139" s="51">
        <v>490</v>
      </c>
      <c r="K139" s="51">
        <v>2228</v>
      </c>
      <c r="L139" s="51">
        <v>2690</v>
      </c>
      <c r="M139" s="51">
        <v>490</v>
      </c>
      <c r="N139" s="51">
        <v>490</v>
      </c>
      <c r="O139" s="51">
        <v>2228</v>
      </c>
      <c r="P139" s="51">
        <v>539.59</v>
      </c>
      <c r="Q139" s="51">
        <v>2135.7199999999998</v>
      </c>
      <c r="R139" s="51">
        <v>2280.1999999999998</v>
      </c>
      <c r="S139" s="51">
        <v>490</v>
      </c>
      <c r="T139" s="51"/>
      <c r="U139" s="51">
        <f t="shared" si="38"/>
        <v>16791.11</v>
      </c>
      <c r="V139" s="67">
        <v>16500</v>
      </c>
      <c r="W139" s="67">
        <v>18000</v>
      </c>
      <c r="AB139" s="86"/>
      <c r="AC139" s="86"/>
      <c r="AD139" s="86"/>
      <c r="AE139" s="86"/>
      <c r="AF139" s="86"/>
      <c r="AG139" s="86" t="s">
        <v>166</v>
      </c>
      <c r="AH139" s="87"/>
      <c r="AI139" s="87"/>
      <c r="AJ139" s="87"/>
      <c r="AK139" s="87"/>
      <c r="AL139" s="87">
        <v>2873.04</v>
      </c>
      <c r="AM139" s="87">
        <v>51</v>
      </c>
      <c r="AN139" s="87">
        <v>490</v>
      </c>
      <c r="AO139" s="87">
        <v>2228</v>
      </c>
      <c r="AP139" s="87">
        <v>650.25</v>
      </c>
      <c r="AQ139" s="87">
        <v>497.74</v>
      </c>
      <c r="AR139" s="87">
        <v>2718</v>
      </c>
      <c r="AS139" s="87">
        <v>490</v>
      </c>
      <c r="AT139" s="87">
        <v>490</v>
      </c>
      <c r="AU139" s="87">
        <v>504.13</v>
      </c>
      <c r="AV139" s="87">
        <v>2433.37</v>
      </c>
      <c r="AW139" s="87">
        <v>0</v>
      </c>
      <c r="AX139" s="87"/>
      <c r="AY139" s="88">
        <f t="shared" si="39"/>
        <v>13425.53</v>
      </c>
      <c r="AZ139" s="88">
        <v>16500</v>
      </c>
      <c r="BA139" s="88">
        <v>16500</v>
      </c>
      <c r="BB139" s="89"/>
    </row>
    <row r="140" spans="1:54" x14ac:dyDescent="0.3">
      <c r="A140" s="50"/>
      <c r="B140" s="50"/>
      <c r="C140" s="50"/>
      <c r="D140" s="50"/>
      <c r="E140" s="50"/>
      <c r="F140" s="50"/>
      <c r="G140" s="50" t="s">
        <v>167</v>
      </c>
      <c r="H140" s="51">
        <v>900</v>
      </c>
      <c r="I140" s="51">
        <v>46</v>
      </c>
      <c r="J140" s="51">
        <v>450</v>
      </c>
      <c r="K140" s="51">
        <v>496</v>
      </c>
      <c r="L140" s="51">
        <v>691</v>
      </c>
      <c r="M140" s="51">
        <v>450</v>
      </c>
      <c r="N140" s="51">
        <v>546</v>
      </c>
      <c r="O140" s="51">
        <v>500</v>
      </c>
      <c r="P140" s="51">
        <v>546</v>
      </c>
      <c r="Q140" s="51">
        <v>546</v>
      </c>
      <c r="R140" s="51">
        <v>500</v>
      </c>
      <c r="S140" s="51">
        <v>450</v>
      </c>
      <c r="T140" s="51"/>
      <c r="U140" s="51">
        <f t="shared" si="38"/>
        <v>6121</v>
      </c>
      <c r="V140" s="67">
        <v>6000</v>
      </c>
      <c r="W140" s="67">
        <v>6800</v>
      </c>
      <c r="AB140" s="86"/>
      <c r="AC140" s="86"/>
      <c r="AD140" s="86"/>
      <c r="AE140" s="86"/>
      <c r="AF140" s="86"/>
      <c r="AG140" s="86" t="s">
        <v>167</v>
      </c>
      <c r="AH140" s="87"/>
      <c r="AI140" s="87"/>
      <c r="AJ140" s="87"/>
      <c r="AK140" s="87"/>
      <c r="AL140" s="87">
        <v>496</v>
      </c>
      <c r="AM140" s="87">
        <v>450</v>
      </c>
      <c r="AN140" s="87">
        <v>496</v>
      </c>
      <c r="AO140" s="87">
        <v>450</v>
      </c>
      <c r="AP140" s="87">
        <v>450</v>
      </c>
      <c r="AQ140" s="87">
        <v>496</v>
      </c>
      <c r="AR140" s="87">
        <v>496</v>
      </c>
      <c r="AS140" s="87">
        <v>450</v>
      </c>
      <c r="AT140" s="87">
        <v>496</v>
      </c>
      <c r="AU140" s="87">
        <v>450</v>
      </c>
      <c r="AV140" s="87">
        <v>496</v>
      </c>
      <c r="AW140" s="87">
        <v>450</v>
      </c>
      <c r="AX140" s="87"/>
      <c r="AY140" s="88">
        <f t="shared" si="39"/>
        <v>5676</v>
      </c>
      <c r="AZ140" s="88">
        <v>6000</v>
      </c>
      <c r="BA140" s="88">
        <v>6000</v>
      </c>
      <c r="BB140" s="89"/>
    </row>
    <row r="141" spans="1:54" x14ac:dyDescent="0.3">
      <c r="A141" s="50"/>
      <c r="B141" s="50"/>
      <c r="C141" s="50"/>
      <c r="D141" s="50"/>
      <c r="E141" s="50"/>
      <c r="F141" s="50"/>
      <c r="G141" s="50" t="s">
        <v>168</v>
      </c>
      <c r="H141" s="51">
        <v>0</v>
      </c>
      <c r="I141" s="51">
        <v>1400</v>
      </c>
      <c r="J141" s="51">
        <v>0</v>
      </c>
      <c r="K141" s="51">
        <v>0</v>
      </c>
      <c r="L141" s="51">
        <v>400</v>
      </c>
      <c r="M141" s="51">
        <v>0</v>
      </c>
      <c r="N141" s="51">
        <v>0</v>
      </c>
      <c r="O141" s="51">
        <v>0</v>
      </c>
      <c r="P141" s="51">
        <v>0</v>
      </c>
      <c r="Q141" s="51">
        <v>0</v>
      </c>
      <c r="R141" s="51">
        <v>0</v>
      </c>
      <c r="S141" s="51">
        <v>800</v>
      </c>
      <c r="T141" s="51"/>
      <c r="U141" s="51">
        <f t="shared" si="38"/>
        <v>2600</v>
      </c>
      <c r="V141" s="67">
        <v>2500</v>
      </c>
      <c r="W141" s="67">
        <v>2650</v>
      </c>
      <c r="AB141" s="86"/>
      <c r="AC141" s="86"/>
      <c r="AD141" s="86"/>
      <c r="AE141" s="86"/>
      <c r="AF141" s="86"/>
      <c r="AG141" s="86" t="s">
        <v>168</v>
      </c>
      <c r="AH141" s="87"/>
      <c r="AI141" s="87"/>
      <c r="AJ141" s="87"/>
      <c r="AK141" s="87"/>
      <c r="AL141" s="87">
        <v>300</v>
      </c>
      <c r="AM141" s="87">
        <v>0</v>
      </c>
      <c r="AN141" s="87">
        <v>0</v>
      </c>
      <c r="AO141" s="87">
        <v>0</v>
      </c>
      <c r="AP141" s="87">
        <v>0</v>
      </c>
      <c r="AQ141" s="87">
        <v>0</v>
      </c>
      <c r="AR141" s="87">
        <v>0</v>
      </c>
      <c r="AS141" s="87">
        <v>0</v>
      </c>
      <c r="AT141" s="87">
        <v>0</v>
      </c>
      <c r="AU141" s="87">
        <v>0</v>
      </c>
      <c r="AV141" s="87">
        <v>0</v>
      </c>
      <c r="AW141" s="87">
        <v>0</v>
      </c>
      <c r="AX141" s="87"/>
      <c r="AY141" s="88">
        <f t="shared" si="39"/>
        <v>300</v>
      </c>
      <c r="AZ141" s="88">
        <v>3500</v>
      </c>
      <c r="BA141" s="88">
        <v>2500</v>
      </c>
      <c r="BB141" s="89" t="s">
        <v>252</v>
      </c>
    </row>
    <row r="142" spans="1:54" x14ac:dyDescent="0.3">
      <c r="A142" s="50"/>
      <c r="B142" s="50"/>
      <c r="C142" s="50"/>
      <c r="D142" s="50"/>
      <c r="E142" s="50"/>
      <c r="F142" s="50"/>
      <c r="G142" s="50" t="s">
        <v>169</v>
      </c>
      <c r="H142" s="51">
        <v>0</v>
      </c>
      <c r="I142" s="51">
        <v>0</v>
      </c>
      <c r="J142" s="51">
        <v>155</v>
      </c>
      <c r="K142" s="51">
        <v>172</v>
      </c>
      <c r="L142" s="51">
        <v>0</v>
      </c>
      <c r="M142" s="51">
        <v>930</v>
      </c>
      <c r="N142" s="51">
        <v>0</v>
      </c>
      <c r="O142" s="51">
        <v>0</v>
      </c>
      <c r="P142" s="51">
        <v>305</v>
      </c>
      <c r="Q142" s="51">
        <v>0</v>
      </c>
      <c r="R142" s="51">
        <v>761</v>
      </c>
      <c r="S142" s="51">
        <v>465</v>
      </c>
      <c r="T142" s="51"/>
      <c r="U142" s="51">
        <f t="shared" si="38"/>
        <v>2788</v>
      </c>
      <c r="V142" s="67">
        <v>2500</v>
      </c>
      <c r="W142" s="67">
        <v>3000</v>
      </c>
      <c r="AB142" s="86"/>
      <c r="AC142" s="86"/>
      <c r="AD142" s="86"/>
      <c r="AE142" s="86"/>
      <c r="AF142" s="86"/>
      <c r="AG142" s="86" t="s">
        <v>169</v>
      </c>
      <c r="AH142" s="87"/>
      <c r="AI142" s="87"/>
      <c r="AJ142" s="87"/>
      <c r="AK142" s="87"/>
      <c r="AL142" s="87">
        <v>0</v>
      </c>
      <c r="AM142" s="87">
        <v>0</v>
      </c>
      <c r="AN142" s="87">
        <v>389</v>
      </c>
      <c r="AO142" s="87">
        <v>125</v>
      </c>
      <c r="AP142" s="87">
        <v>250</v>
      </c>
      <c r="AQ142" s="87">
        <v>0</v>
      </c>
      <c r="AR142" s="87">
        <v>0</v>
      </c>
      <c r="AS142" s="87">
        <v>0</v>
      </c>
      <c r="AT142" s="87">
        <v>560</v>
      </c>
      <c r="AU142" s="87">
        <v>0</v>
      </c>
      <c r="AV142" s="87">
        <v>250</v>
      </c>
      <c r="AW142" s="87">
        <v>0</v>
      </c>
      <c r="AX142" s="87"/>
      <c r="AY142" s="88">
        <f t="shared" si="39"/>
        <v>1574</v>
      </c>
      <c r="AZ142" s="88">
        <v>2500</v>
      </c>
      <c r="BA142" s="88">
        <v>2500</v>
      </c>
      <c r="BB142" s="89"/>
    </row>
    <row r="143" spans="1:54" ht="13.8" customHeight="1" x14ac:dyDescent="0.3">
      <c r="A143" s="50"/>
      <c r="B143" s="50"/>
      <c r="C143" s="50"/>
      <c r="D143" s="50"/>
      <c r="E143" s="50"/>
      <c r="F143" s="50"/>
      <c r="G143" s="50" t="s">
        <v>170</v>
      </c>
      <c r="H143" s="51">
        <v>0</v>
      </c>
      <c r="I143" s="51">
        <v>0</v>
      </c>
      <c r="J143" s="51">
        <v>0</v>
      </c>
      <c r="K143" s="51">
        <v>0</v>
      </c>
      <c r="L143" s="51">
        <v>0</v>
      </c>
      <c r="M143" s="51">
        <v>0</v>
      </c>
      <c r="N143" s="51">
        <v>0</v>
      </c>
      <c r="O143" s="51">
        <v>0</v>
      </c>
      <c r="P143" s="51">
        <v>0</v>
      </c>
      <c r="Q143" s="51">
        <v>0</v>
      </c>
      <c r="R143" s="51">
        <v>0</v>
      </c>
      <c r="S143" s="51">
        <v>0</v>
      </c>
      <c r="T143" s="51"/>
      <c r="U143" s="51">
        <v>0</v>
      </c>
      <c r="V143" s="67">
        <v>400</v>
      </c>
      <c r="W143" s="67">
        <v>400</v>
      </c>
      <c r="AB143" s="86"/>
      <c r="AC143" s="86"/>
      <c r="AD143" s="86"/>
      <c r="AE143" s="86"/>
      <c r="AF143" s="86"/>
      <c r="AG143" s="86" t="s">
        <v>170</v>
      </c>
      <c r="AH143" s="87"/>
      <c r="AI143" s="87"/>
      <c r="AJ143" s="87"/>
      <c r="AK143" s="87"/>
      <c r="AL143" s="87">
        <v>0</v>
      </c>
      <c r="AM143" s="87">
        <v>0</v>
      </c>
      <c r="AN143" s="87">
        <v>0</v>
      </c>
      <c r="AO143" s="87">
        <v>0</v>
      </c>
      <c r="AP143" s="87">
        <v>0</v>
      </c>
      <c r="AQ143" s="87">
        <v>0</v>
      </c>
      <c r="AR143" s="87">
        <v>0</v>
      </c>
      <c r="AS143" s="87">
        <v>0</v>
      </c>
      <c r="AT143" s="87">
        <v>0</v>
      </c>
      <c r="AU143" s="87">
        <v>0</v>
      </c>
      <c r="AV143" s="87">
        <v>0</v>
      </c>
      <c r="AW143" s="87">
        <v>0</v>
      </c>
      <c r="AX143" s="87"/>
      <c r="AY143" s="88">
        <f t="shared" si="39"/>
        <v>0</v>
      </c>
      <c r="AZ143" s="88">
        <v>250</v>
      </c>
      <c r="BA143" s="88">
        <v>400</v>
      </c>
      <c r="BB143" s="89" t="s">
        <v>263</v>
      </c>
    </row>
    <row r="144" spans="1:54" ht="13.8" customHeight="1" x14ac:dyDescent="0.3">
      <c r="A144" s="50"/>
      <c r="B144" s="50"/>
      <c r="C144" s="50"/>
      <c r="D144" s="50"/>
      <c r="E144" s="50"/>
      <c r="F144" s="50"/>
      <c r="G144" s="50" t="s">
        <v>171</v>
      </c>
      <c r="H144" s="51">
        <v>333.11</v>
      </c>
      <c r="I144" s="51">
        <v>0</v>
      </c>
      <c r="J144" s="51">
        <v>666.22</v>
      </c>
      <c r="K144" s="51">
        <v>71.599999999999994</v>
      </c>
      <c r="L144" s="51">
        <v>666.22</v>
      </c>
      <c r="M144" s="51">
        <v>8306.75</v>
      </c>
      <c r="N144" s="51">
        <v>149.18</v>
      </c>
      <c r="O144" s="51">
        <v>7675.8</v>
      </c>
      <c r="P144" s="51">
        <v>327.41000000000003</v>
      </c>
      <c r="Q144" s="51">
        <v>59.1</v>
      </c>
      <c r="R144" s="51">
        <v>228.97</v>
      </c>
      <c r="S144" s="51">
        <v>758.23</v>
      </c>
      <c r="T144" s="51"/>
      <c r="U144" s="51">
        <f t="shared" si="38"/>
        <v>19242.59</v>
      </c>
      <c r="V144" s="67">
        <v>7500</v>
      </c>
      <c r="W144" s="67">
        <v>7500</v>
      </c>
      <c r="AB144" s="86"/>
      <c r="AC144" s="86"/>
      <c r="AD144" s="86"/>
      <c r="AE144" s="86"/>
      <c r="AF144" s="86"/>
      <c r="AG144" s="86" t="s">
        <v>171</v>
      </c>
      <c r="AH144" s="87"/>
      <c r="AI144" s="87"/>
      <c r="AJ144" s="87"/>
      <c r="AK144" s="87"/>
      <c r="AL144" s="87">
        <v>305.61</v>
      </c>
      <c r="AM144" s="87">
        <v>0</v>
      </c>
      <c r="AN144" s="87">
        <v>611.22</v>
      </c>
      <c r="AO144" s="87">
        <v>305.61</v>
      </c>
      <c r="AP144" s="87">
        <v>305.61</v>
      </c>
      <c r="AQ144" s="87">
        <v>414.25</v>
      </c>
      <c r="AR144" s="87">
        <v>305.61</v>
      </c>
      <c r="AS144" s="87">
        <v>0</v>
      </c>
      <c r="AT144" s="87">
        <v>611.22</v>
      </c>
      <c r="AU144" s="87">
        <v>305.61</v>
      </c>
      <c r="AV144" s="87">
        <v>305.61</v>
      </c>
      <c r="AW144" s="87">
        <v>305.61</v>
      </c>
      <c r="AX144" s="87"/>
      <c r="AY144" s="88">
        <f t="shared" si="39"/>
        <v>3775.96</v>
      </c>
      <c r="AZ144" s="88">
        <v>3700</v>
      </c>
      <c r="BA144" s="88">
        <v>7500</v>
      </c>
      <c r="BB144" s="89" t="s">
        <v>262</v>
      </c>
    </row>
    <row r="145" spans="1:56" ht="13.8" customHeight="1" x14ac:dyDescent="0.3">
      <c r="A145" s="50"/>
      <c r="B145" s="50"/>
      <c r="C145" s="50"/>
      <c r="D145" s="50"/>
      <c r="E145" s="50"/>
      <c r="F145" s="50"/>
      <c r="G145" s="50" t="s">
        <v>172</v>
      </c>
      <c r="H145" s="51">
        <v>187.95</v>
      </c>
      <c r="I145" s="51">
        <v>185.81</v>
      </c>
      <c r="J145" s="51">
        <v>187.35</v>
      </c>
      <c r="K145" s="51">
        <v>471.19</v>
      </c>
      <c r="L145" s="51">
        <v>36.840000000000003</v>
      </c>
      <c r="M145" s="51">
        <v>228.9</v>
      </c>
      <c r="N145" s="51">
        <v>0</v>
      </c>
      <c r="O145" s="51">
        <v>385.67</v>
      </c>
      <c r="P145" s="51">
        <v>484.47</v>
      </c>
      <c r="Q145" s="51">
        <v>184.32</v>
      </c>
      <c r="R145" s="51">
        <v>747.8</v>
      </c>
      <c r="S145" s="51">
        <v>185.81</v>
      </c>
      <c r="T145" s="51"/>
      <c r="U145" s="51">
        <f t="shared" si="38"/>
        <v>3286.11</v>
      </c>
      <c r="V145" s="67">
        <v>4000</v>
      </c>
      <c r="W145" s="67">
        <v>4800</v>
      </c>
      <c r="AB145" s="86"/>
      <c r="AC145" s="86"/>
      <c r="AD145" s="86"/>
      <c r="AE145" s="86"/>
      <c r="AF145" s="86"/>
      <c r="AG145" s="86" t="s">
        <v>172</v>
      </c>
      <c r="AH145" s="87"/>
      <c r="AI145" s="87"/>
      <c r="AJ145" s="87"/>
      <c r="AK145" s="87"/>
      <c r="AL145" s="87">
        <v>330.81</v>
      </c>
      <c r="AM145" s="87">
        <v>96.32</v>
      </c>
      <c r="AN145" s="87">
        <v>169.12</v>
      </c>
      <c r="AO145" s="87">
        <v>97.75</v>
      </c>
      <c r="AP145" s="87">
        <v>134.9</v>
      </c>
      <c r="AQ145" s="87">
        <v>147.91</v>
      </c>
      <c r="AR145" s="87">
        <v>325.38</v>
      </c>
      <c r="AS145" s="87">
        <v>0</v>
      </c>
      <c r="AT145" s="87">
        <v>265.42</v>
      </c>
      <c r="AU145" s="87">
        <v>163.34</v>
      </c>
      <c r="AV145" s="87">
        <v>122.25</v>
      </c>
      <c r="AW145" s="87">
        <v>199.82</v>
      </c>
      <c r="AX145" s="87"/>
      <c r="AY145" s="88">
        <f t="shared" si="39"/>
        <v>2053.02</v>
      </c>
      <c r="AZ145" s="88">
        <v>2800</v>
      </c>
      <c r="BA145" s="88">
        <v>4000</v>
      </c>
      <c r="BB145" s="89" t="s">
        <v>261</v>
      </c>
    </row>
    <row r="146" spans="1:56" x14ac:dyDescent="0.3">
      <c r="A146" s="50"/>
      <c r="B146" s="50"/>
      <c r="C146" s="50"/>
      <c r="D146" s="50"/>
      <c r="E146" s="50"/>
      <c r="F146" s="50"/>
      <c r="G146" s="50" t="s">
        <v>173</v>
      </c>
      <c r="H146" s="51">
        <v>199.95</v>
      </c>
      <c r="I146" s="51">
        <v>764.87</v>
      </c>
      <c r="J146" s="51">
        <v>199.95</v>
      </c>
      <c r="K146" s="51">
        <v>1384.11</v>
      </c>
      <c r="L146" s="51">
        <v>471.42</v>
      </c>
      <c r="M146" s="51">
        <v>1236.1400000000001</v>
      </c>
      <c r="N146" s="51">
        <v>1269.6099999999999</v>
      </c>
      <c r="O146" s="51">
        <v>258.58</v>
      </c>
      <c r="P146" s="51">
        <v>2321.1999999999998</v>
      </c>
      <c r="Q146" s="51">
        <v>1105.0999999999999</v>
      </c>
      <c r="R146" s="51">
        <v>1284.1099999999999</v>
      </c>
      <c r="S146" s="51">
        <v>938.47</v>
      </c>
      <c r="T146" s="51"/>
      <c r="U146" s="51">
        <f t="shared" si="38"/>
        <v>11433.51</v>
      </c>
      <c r="V146" s="67">
        <v>13000</v>
      </c>
      <c r="W146" s="67">
        <v>13000</v>
      </c>
      <c r="AB146" s="86"/>
      <c r="AC146" s="86"/>
      <c r="AD146" s="86"/>
      <c r="AE146" s="86"/>
      <c r="AF146" s="86"/>
      <c r="AG146" s="86" t="s">
        <v>173</v>
      </c>
      <c r="AH146" s="87"/>
      <c r="AI146" s="87"/>
      <c r="AJ146" s="87"/>
      <c r="AK146" s="87"/>
      <c r="AL146" s="87">
        <v>1549.97</v>
      </c>
      <c r="AM146" s="87">
        <v>1016.67</v>
      </c>
      <c r="AN146" s="87">
        <v>1015.39</v>
      </c>
      <c r="AO146" s="87">
        <v>289.32</v>
      </c>
      <c r="AP146" s="87">
        <v>1934.04</v>
      </c>
      <c r="AQ146" s="87">
        <v>903.78</v>
      </c>
      <c r="AR146" s="87">
        <v>1184.33</v>
      </c>
      <c r="AS146" s="87">
        <v>443.68</v>
      </c>
      <c r="AT146" s="87">
        <v>1731.99</v>
      </c>
      <c r="AU146" s="87">
        <v>1022.29</v>
      </c>
      <c r="AV146" s="87">
        <v>833.3</v>
      </c>
      <c r="AW146" s="87">
        <v>572.04999999999995</v>
      </c>
      <c r="AX146" s="87"/>
      <c r="AY146" s="88">
        <f t="shared" si="39"/>
        <v>12496.81</v>
      </c>
      <c r="AZ146" s="88">
        <v>12500</v>
      </c>
      <c r="BA146" s="88">
        <v>13000</v>
      </c>
      <c r="BB146" s="89"/>
    </row>
    <row r="147" spans="1:56" ht="15" thickBot="1" x14ac:dyDescent="0.35">
      <c r="A147" s="50"/>
      <c r="B147" s="50"/>
      <c r="C147" s="50"/>
      <c r="D147" s="50"/>
      <c r="E147" s="50"/>
      <c r="F147" s="50"/>
      <c r="G147" s="50" t="s">
        <v>174</v>
      </c>
      <c r="H147" s="51">
        <v>2011.87</v>
      </c>
      <c r="I147" s="51">
        <v>0</v>
      </c>
      <c r="J147" s="51">
        <v>299.66000000000003</v>
      </c>
      <c r="K147" s="51">
        <v>1323.9</v>
      </c>
      <c r="L147" s="51">
        <v>45.99</v>
      </c>
      <c r="M147" s="51">
        <v>442.46</v>
      </c>
      <c r="N147" s="51">
        <v>0</v>
      </c>
      <c r="O147" s="51">
        <v>342.55</v>
      </c>
      <c r="P147" s="51">
        <v>0</v>
      </c>
      <c r="Q147" s="51">
        <v>60.42</v>
      </c>
      <c r="R147" s="51">
        <v>0</v>
      </c>
      <c r="S147" s="51">
        <v>11382.67</v>
      </c>
      <c r="T147" s="51"/>
      <c r="U147" s="51">
        <f t="shared" si="38"/>
        <v>15909.52</v>
      </c>
      <c r="V147" s="67">
        <v>8500</v>
      </c>
      <c r="W147" s="67">
        <v>8500</v>
      </c>
      <c r="AB147" s="86"/>
      <c r="AC147" s="86"/>
      <c r="AD147" s="86"/>
      <c r="AE147" s="86"/>
      <c r="AF147" s="86"/>
      <c r="AG147" s="86" t="s">
        <v>174</v>
      </c>
      <c r="AH147" s="87"/>
      <c r="AI147" s="87"/>
      <c r="AJ147" s="87"/>
      <c r="AK147" s="87"/>
      <c r="AL147" s="87">
        <v>0</v>
      </c>
      <c r="AM147" s="87">
        <v>0</v>
      </c>
      <c r="AN147" s="87">
        <v>188.42</v>
      </c>
      <c r="AO147" s="87">
        <v>1763.16</v>
      </c>
      <c r="AP147" s="87">
        <v>0</v>
      </c>
      <c r="AQ147" s="87">
        <v>82</v>
      </c>
      <c r="AR147" s="87">
        <v>88</v>
      </c>
      <c r="AS147" s="87">
        <v>0</v>
      </c>
      <c r="AT147" s="87">
        <v>216</v>
      </c>
      <c r="AU147" s="87">
        <v>0</v>
      </c>
      <c r="AV147" s="87">
        <v>0</v>
      </c>
      <c r="AW147" s="87">
        <v>0</v>
      </c>
      <c r="AX147" s="87"/>
      <c r="AY147" s="88">
        <f t="shared" si="39"/>
        <v>2337.58</v>
      </c>
      <c r="AZ147" s="88">
        <v>8500</v>
      </c>
      <c r="BA147" s="88">
        <v>8500</v>
      </c>
      <c r="BB147" s="89"/>
    </row>
    <row r="148" spans="1:56" ht="15" thickBot="1" x14ac:dyDescent="0.35">
      <c r="A148" s="50"/>
      <c r="B148" s="50"/>
      <c r="C148" s="50"/>
      <c r="D148" s="50"/>
      <c r="E148" s="50"/>
      <c r="F148" s="50" t="s">
        <v>175</v>
      </c>
      <c r="G148" s="50"/>
      <c r="H148" s="53">
        <f t="shared" ref="H148:S148" si="40">ROUND(SUM(H136:H147),5)</f>
        <v>8094.09</v>
      </c>
      <c r="I148" s="53">
        <f t="shared" si="40"/>
        <v>2457.6799999999998</v>
      </c>
      <c r="J148" s="53">
        <f t="shared" si="40"/>
        <v>2448.1799999999998</v>
      </c>
      <c r="K148" s="53">
        <f t="shared" si="40"/>
        <v>6534.68</v>
      </c>
      <c r="L148" s="53">
        <f t="shared" si="40"/>
        <v>5624.84</v>
      </c>
      <c r="M148" s="53">
        <f t="shared" si="40"/>
        <v>14605.83</v>
      </c>
      <c r="N148" s="53">
        <f t="shared" si="40"/>
        <v>4906.1000000000004</v>
      </c>
      <c r="O148" s="53">
        <f t="shared" si="40"/>
        <v>11390.6</v>
      </c>
      <c r="P148" s="53">
        <f t="shared" si="40"/>
        <v>4747.25</v>
      </c>
      <c r="Q148" s="53">
        <f t="shared" si="40"/>
        <v>4090.66</v>
      </c>
      <c r="R148" s="53">
        <f t="shared" si="40"/>
        <v>6791.66</v>
      </c>
      <c r="S148" s="53">
        <f t="shared" si="40"/>
        <v>15660.18</v>
      </c>
      <c r="T148" s="53"/>
      <c r="U148" s="53">
        <f t="shared" si="38"/>
        <v>87351.75</v>
      </c>
      <c r="V148" s="53">
        <f>ROUND(SUM(V136:V147),5)</f>
        <v>73400</v>
      </c>
      <c r="W148" s="53">
        <f>ROUND(SUM(W136:W147),5)</f>
        <v>82150</v>
      </c>
      <c r="AB148" s="86"/>
      <c r="AC148" s="86"/>
      <c r="AD148" s="86"/>
      <c r="AE148" s="86" t="s">
        <v>176</v>
      </c>
      <c r="AF148" s="86" t="s">
        <v>175</v>
      </c>
      <c r="AG148" s="86"/>
      <c r="AH148" s="93"/>
      <c r="AI148" s="93"/>
      <c r="AJ148" s="93"/>
      <c r="AK148" s="93"/>
      <c r="AL148" s="93">
        <f t="shared" ref="AL148:AW148" si="41">ROUND(SUM(AL136:AL147),5)</f>
        <v>6115.43</v>
      </c>
      <c r="AM148" s="93">
        <f t="shared" si="41"/>
        <v>1613.99</v>
      </c>
      <c r="AN148" s="93">
        <f t="shared" si="41"/>
        <v>3615.42</v>
      </c>
      <c r="AO148" s="93">
        <f t="shared" si="41"/>
        <v>5258.84</v>
      </c>
      <c r="AP148" s="93">
        <f t="shared" si="41"/>
        <v>4034.75</v>
      </c>
      <c r="AQ148" s="93">
        <f t="shared" si="41"/>
        <v>2541.6799999999998</v>
      </c>
      <c r="AR148" s="93">
        <f t="shared" si="41"/>
        <v>5173.17</v>
      </c>
      <c r="AS148" s="93">
        <f t="shared" si="41"/>
        <v>1483.68</v>
      </c>
      <c r="AT148" s="93">
        <f t="shared" si="41"/>
        <v>5045.63</v>
      </c>
      <c r="AU148" s="93">
        <f t="shared" si="41"/>
        <v>3970.37</v>
      </c>
      <c r="AV148" s="93">
        <f t="shared" si="41"/>
        <v>5031.53</v>
      </c>
      <c r="AW148" s="93">
        <f t="shared" si="41"/>
        <v>1527.48</v>
      </c>
      <c r="AX148" s="93"/>
      <c r="AY148" s="94">
        <f t="shared" si="39"/>
        <v>45411.97</v>
      </c>
      <c r="AZ148" s="94">
        <f>ROUND(SUM(AZ136:AZ147),5)</f>
        <v>68750</v>
      </c>
      <c r="BA148" s="94">
        <f>ROUND(SUM(BA136:BA147),5)</f>
        <v>73400</v>
      </c>
      <c r="BB148" s="95"/>
    </row>
    <row r="149" spans="1:56" x14ac:dyDescent="0.3">
      <c r="A149" s="50"/>
      <c r="B149" s="50"/>
      <c r="C149" s="50"/>
      <c r="D149" s="50"/>
      <c r="E149" s="50" t="s">
        <v>176</v>
      </c>
      <c r="F149" s="50"/>
      <c r="G149" s="50"/>
      <c r="H149" s="51">
        <f t="shared" ref="H149:S149" si="42">ROUND(H72+H76+H124+H148,5)</f>
        <v>12924.06</v>
      </c>
      <c r="I149" s="51">
        <f t="shared" si="42"/>
        <v>11023.44</v>
      </c>
      <c r="J149" s="51">
        <f t="shared" si="42"/>
        <v>11741.11</v>
      </c>
      <c r="K149" s="51">
        <f t="shared" si="42"/>
        <v>25380.53</v>
      </c>
      <c r="L149" s="51">
        <f t="shared" si="42"/>
        <v>14068.64</v>
      </c>
      <c r="M149" s="51">
        <f t="shared" si="42"/>
        <v>23086.62</v>
      </c>
      <c r="N149" s="51">
        <f t="shared" si="42"/>
        <v>12862.43</v>
      </c>
      <c r="O149" s="51">
        <f t="shared" si="42"/>
        <v>16906.099999999999</v>
      </c>
      <c r="P149" s="51">
        <f t="shared" si="42"/>
        <v>11140.94</v>
      </c>
      <c r="Q149" s="51">
        <f t="shared" si="42"/>
        <v>11727.36</v>
      </c>
      <c r="R149" s="51">
        <f t="shared" si="42"/>
        <v>11613.56</v>
      </c>
      <c r="S149" s="51">
        <f t="shared" si="42"/>
        <v>25653.360000000001</v>
      </c>
      <c r="T149" s="51"/>
      <c r="U149" s="51">
        <f t="shared" si="38"/>
        <v>188128.15</v>
      </c>
      <c r="V149" s="51">
        <f>ROUND(V72+V76+V124+V148,5)</f>
        <v>255150</v>
      </c>
      <c r="W149" s="51">
        <f>ROUND(W72+W76+W124+W148,5)</f>
        <v>270500</v>
      </c>
      <c r="AB149" s="86"/>
      <c r="AC149" s="86"/>
      <c r="AD149" s="86"/>
      <c r="AE149" s="86" t="s">
        <v>177</v>
      </c>
      <c r="AF149" s="86"/>
      <c r="AG149" s="86"/>
      <c r="AH149" s="87"/>
      <c r="AI149" s="87"/>
      <c r="AJ149" s="87"/>
      <c r="AK149" s="87"/>
      <c r="AL149" s="87">
        <f t="shared" ref="AL149:AW149" si="43">ROUND(AL72+AL76+AL124+AL148,5)</f>
        <v>11309.88</v>
      </c>
      <c r="AM149" s="87">
        <f t="shared" si="43"/>
        <v>16749.12</v>
      </c>
      <c r="AN149" s="87">
        <f t="shared" si="43"/>
        <v>12622.71</v>
      </c>
      <c r="AO149" s="87">
        <f t="shared" si="43"/>
        <v>11103.24</v>
      </c>
      <c r="AP149" s="87">
        <f t="shared" si="43"/>
        <v>11446.41</v>
      </c>
      <c r="AQ149" s="87">
        <f t="shared" si="43"/>
        <v>10453.459999999999</v>
      </c>
      <c r="AR149" s="87">
        <f t="shared" si="43"/>
        <v>11012.23</v>
      </c>
      <c r="AS149" s="87">
        <f t="shared" si="43"/>
        <v>6587.86</v>
      </c>
      <c r="AT149" s="87">
        <f t="shared" si="43"/>
        <v>12475.07</v>
      </c>
      <c r="AU149" s="87">
        <f t="shared" si="43"/>
        <v>10928.87</v>
      </c>
      <c r="AV149" s="87">
        <f t="shared" si="43"/>
        <v>12329.12</v>
      </c>
      <c r="AW149" s="87">
        <f t="shared" si="43"/>
        <v>11692.02</v>
      </c>
      <c r="AX149" s="87"/>
      <c r="AY149" s="88">
        <f t="shared" si="39"/>
        <v>138709.99</v>
      </c>
      <c r="AZ149" s="88">
        <f>ROUND(AZ72+AZ76+AZ124+AZ148,5)</f>
        <v>248400</v>
      </c>
      <c r="BA149" s="88">
        <f>ROUND(BA72+BA76+BA124+BA148,5)</f>
        <v>255150</v>
      </c>
      <c r="BB149" s="89"/>
    </row>
    <row r="150" spans="1:56" x14ac:dyDescent="0.3">
      <c r="A150" s="50"/>
      <c r="B150" s="50"/>
      <c r="C150" s="50"/>
      <c r="D150" s="50"/>
      <c r="E150" s="50" t="s">
        <v>177</v>
      </c>
      <c r="F150" s="50"/>
      <c r="G150" s="50"/>
      <c r="H150" s="51"/>
      <c r="I150" s="51"/>
      <c r="J150" s="51"/>
      <c r="K150" s="51"/>
      <c r="L150" s="51"/>
      <c r="M150" s="51"/>
      <c r="N150" s="51"/>
      <c r="O150" s="51"/>
      <c r="P150" s="51"/>
      <c r="Q150" s="51"/>
      <c r="R150" s="51"/>
      <c r="S150" s="51"/>
      <c r="T150" s="51"/>
      <c r="U150" s="51"/>
      <c r="V150" s="51"/>
      <c r="W150" s="51"/>
      <c r="AB150" s="86"/>
      <c r="AC150" s="86"/>
      <c r="AD150" s="86"/>
      <c r="AE150" s="86"/>
      <c r="AF150" s="86"/>
      <c r="AG150" s="86"/>
      <c r="AH150" s="87"/>
      <c r="AI150" s="87"/>
      <c r="AJ150" s="87"/>
      <c r="AK150" s="87"/>
      <c r="AL150" s="87"/>
      <c r="AM150" s="87"/>
      <c r="AN150" s="87"/>
      <c r="AO150" s="87"/>
      <c r="AP150" s="87"/>
      <c r="AQ150" s="87"/>
      <c r="AR150" s="87"/>
      <c r="AS150" s="87"/>
      <c r="AT150" s="87"/>
      <c r="AU150" s="87"/>
      <c r="AV150" s="87"/>
      <c r="AW150" s="87"/>
      <c r="AX150" s="87"/>
      <c r="AY150" s="88"/>
      <c r="AZ150" s="88"/>
      <c r="BA150" s="88"/>
      <c r="BB150" s="89"/>
    </row>
    <row r="151" spans="1:56" x14ac:dyDescent="0.3">
      <c r="A151" s="50"/>
      <c r="B151" s="50"/>
      <c r="C151" s="50"/>
      <c r="D151" s="50"/>
      <c r="E151" s="50"/>
      <c r="F151" s="50" t="s">
        <v>178</v>
      </c>
      <c r="G151" s="50"/>
      <c r="H151" s="51"/>
      <c r="I151" s="51"/>
      <c r="J151" s="51"/>
      <c r="K151" s="51"/>
      <c r="L151" s="51"/>
      <c r="M151" s="51"/>
      <c r="N151" s="51"/>
      <c r="O151" s="51"/>
      <c r="P151" s="51"/>
      <c r="Q151" s="51"/>
      <c r="R151" s="51"/>
      <c r="S151" s="51"/>
      <c r="T151" s="51"/>
      <c r="U151" s="51"/>
      <c r="V151" s="51"/>
      <c r="W151" s="51"/>
      <c r="AB151" s="86"/>
      <c r="AC151" s="86"/>
      <c r="AD151" s="86"/>
      <c r="AE151" s="86"/>
      <c r="AF151" s="86" t="s">
        <v>178</v>
      </c>
      <c r="AG151" s="86"/>
      <c r="AH151" s="87"/>
      <c r="AI151" s="87"/>
      <c r="AJ151" s="87"/>
      <c r="AK151" s="87"/>
      <c r="AL151" s="87"/>
      <c r="AM151" s="87"/>
      <c r="AN151" s="87"/>
      <c r="AO151" s="87"/>
      <c r="AP151" s="87"/>
      <c r="AQ151" s="87"/>
      <c r="AR151" s="87"/>
      <c r="AS151" s="87"/>
      <c r="AT151" s="87"/>
      <c r="AU151" s="87"/>
      <c r="AV151" s="87"/>
      <c r="AW151" s="87"/>
      <c r="AX151" s="87"/>
      <c r="AY151" s="88"/>
      <c r="AZ151" s="88"/>
      <c r="BA151" s="88"/>
      <c r="BB151" s="89"/>
    </row>
    <row r="152" spans="1:56" ht="22.2" thickBot="1" x14ac:dyDescent="0.35">
      <c r="A152" s="50"/>
      <c r="B152" s="50"/>
      <c r="C152" s="50"/>
      <c r="D152" s="50"/>
      <c r="E152" s="50"/>
      <c r="F152" s="50"/>
      <c r="G152" s="50" t="s">
        <v>179</v>
      </c>
      <c r="H152" s="52">
        <v>0</v>
      </c>
      <c r="I152" s="52">
        <v>0</v>
      </c>
      <c r="J152" s="52">
        <v>0</v>
      </c>
      <c r="K152" s="52">
        <v>0</v>
      </c>
      <c r="L152" s="52">
        <v>0</v>
      </c>
      <c r="M152" s="52">
        <v>0</v>
      </c>
      <c r="N152" s="52">
        <v>0</v>
      </c>
      <c r="O152" s="52">
        <v>0</v>
      </c>
      <c r="P152" s="52">
        <v>0</v>
      </c>
      <c r="Q152" s="52">
        <v>0</v>
      </c>
      <c r="R152" s="52">
        <v>0</v>
      </c>
      <c r="S152" s="52">
        <v>48942.34</v>
      </c>
      <c r="T152" s="52"/>
      <c r="U152" s="52">
        <f>ROUND(SUM(H152:T152),5)</f>
        <v>48942.34</v>
      </c>
      <c r="V152" s="52">
        <v>0</v>
      </c>
      <c r="W152" s="52">
        <v>0</v>
      </c>
      <c r="X152" s="68" t="s">
        <v>205</v>
      </c>
      <c r="AB152" s="86"/>
      <c r="AC152" s="86"/>
      <c r="AD152" s="86"/>
      <c r="AE152" s="86"/>
      <c r="AF152" s="86"/>
      <c r="AG152" s="86" t="s">
        <v>179</v>
      </c>
      <c r="AH152" s="90"/>
      <c r="AI152" s="90"/>
      <c r="AJ152" s="90"/>
      <c r="AK152" s="90"/>
      <c r="AL152" s="90">
        <v>0</v>
      </c>
      <c r="AM152" s="90">
        <v>0</v>
      </c>
      <c r="AN152" s="90">
        <v>0</v>
      </c>
      <c r="AO152" s="90">
        <v>0</v>
      </c>
      <c r="AP152" s="90">
        <v>0</v>
      </c>
      <c r="AQ152" s="90">
        <v>0</v>
      </c>
      <c r="AR152" s="90">
        <v>0</v>
      </c>
      <c r="AS152" s="90">
        <v>0</v>
      </c>
      <c r="AT152" s="90">
        <v>0</v>
      </c>
      <c r="AU152" s="90">
        <v>0</v>
      </c>
      <c r="AV152" s="90">
        <v>0</v>
      </c>
      <c r="AW152" s="90">
        <v>50812.91</v>
      </c>
      <c r="AX152" s="90"/>
      <c r="AY152" s="91">
        <f>ROUND(SUM(AH152:AX152),5)</f>
        <v>50812.91</v>
      </c>
      <c r="AZ152" s="91">
        <v>0</v>
      </c>
      <c r="BA152" s="91">
        <v>0</v>
      </c>
      <c r="BB152" s="92" t="s">
        <v>205</v>
      </c>
    </row>
    <row r="153" spans="1:56" x14ac:dyDescent="0.3">
      <c r="A153" s="50"/>
      <c r="B153" s="50"/>
      <c r="C153" s="50"/>
      <c r="D153" s="50"/>
      <c r="E153" s="50"/>
      <c r="F153" s="50" t="s">
        <v>180</v>
      </c>
      <c r="G153" s="50"/>
      <c r="H153" s="51">
        <f t="shared" ref="H153:P153" si="44">ROUND(SUM(H151:H152),5)</f>
        <v>0</v>
      </c>
      <c r="I153" s="51">
        <f t="shared" si="44"/>
        <v>0</v>
      </c>
      <c r="J153" s="51">
        <f t="shared" si="44"/>
        <v>0</v>
      </c>
      <c r="K153" s="51">
        <f t="shared" si="44"/>
        <v>0</v>
      </c>
      <c r="L153" s="51">
        <f t="shared" si="44"/>
        <v>0</v>
      </c>
      <c r="M153" s="51">
        <f t="shared" si="44"/>
        <v>0</v>
      </c>
      <c r="N153" s="51">
        <f t="shared" si="44"/>
        <v>0</v>
      </c>
      <c r="O153" s="51">
        <f t="shared" si="44"/>
        <v>0</v>
      </c>
      <c r="P153" s="51">
        <f t="shared" si="44"/>
        <v>0</v>
      </c>
      <c r="Q153" s="51">
        <f>ROUND(SUM(Q151:Q152),5)</f>
        <v>0</v>
      </c>
      <c r="R153" s="51">
        <f>ROUND(SUM(R151:R152),5)</f>
        <v>0</v>
      </c>
      <c r="S153" s="51">
        <f>ROUND(SUM(S151:S152),5)</f>
        <v>48942.34</v>
      </c>
      <c r="T153" s="51"/>
      <c r="U153" s="51">
        <f>ROUND(SUM(H153:T153),5)</f>
        <v>48942.34</v>
      </c>
      <c r="V153" s="51">
        <f>ROUND(SUM(V151:V152),5)</f>
        <v>0</v>
      </c>
      <c r="W153" s="51">
        <f>ROUND(SUM(W151:W152),5)</f>
        <v>0</v>
      </c>
      <c r="AB153" s="86"/>
      <c r="AC153" s="86"/>
      <c r="AD153" s="86"/>
      <c r="AE153" s="86"/>
      <c r="AF153" s="86" t="s">
        <v>180</v>
      </c>
      <c r="AG153" s="86"/>
      <c r="AH153" s="87"/>
      <c r="AI153" s="87"/>
      <c r="AJ153" s="87"/>
      <c r="AK153" s="87"/>
      <c r="AL153" s="87">
        <f t="shared" ref="AL153:AW153" si="45">ROUND(SUM(AL151:AL152),5)</f>
        <v>0</v>
      </c>
      <c r="AM153" s="87">
        <f t="shared" si="45"/>
        <v>0</v>
      </c>
      <c r="AN153" s="87">
        <f t="shared" si="45"/>
        <v>0</v>
      </c>
      <c r="AO153" s="87">
        <f t="shared" si="45"/>
        <v>0</v>
      </c>
      <c r="AP153" s="87">
        <f t="shared" si="45"/>
        <v>0</v>
      </c>
      <c r="AQ153" s="87">
        <f t="shared" si="45"/>
        <v>0</v>
      </c>
      <c r="AR153" s="87">
        <f t="shared" si="45"/>
        <v>0</v>
      </c>
      <c r="AS153" s="87">
        <f t="shared" si="45"/>
        <v>0</v>
      </c>
      <c r="AT153" s="87">
        <f t="shared" si="45"/>
        <v>0</v>
      </c>
      <c r="AU153" s="87">
        <f t="shared" si="45"/>
        <v>0</v>
      </c>
      <c r="AV153" s="87">
        <f t="shared" si="45"/>
        <v>0</v>
      </c>
      <c r="AW153" s="87">
        <f t="shared" si="45"/>
        <v>50812.91</v>
      </c>
      <c r="AX153" s="87"/>
      <c r="AY153" s="88">
        <f>ROUND(SUM(AH153:AX153),5)</f>
        <v>50812.91</v>
      </c>
      <c r="AZ153" s="88">
        <f>ROUND(SUM(AZ151:AZ152),5)</f>
        <v>0</v>
      </c>
      <c r="BA153" s="88">
        <f>ROUND(SUM(BA151:BA152),5)</f>
        <v>0</v>
      </c>
      <c r="BB153" s="89"/>
    </row>
    <row r="154" spans="1:56" ht="15" thickBot="1" x14ac:dyDescent="0.35">
      <c r="A154" s="50"/>
      <c r="B154" s="50"/>
      <c r="C154" s="50"/>
      <c r="D154" s="50"/>
      <c r="E154" s="50"/>
      <c r="F154" s="50" t="s">
        <v>181</v>
      </c>
      <c r="G154" s="50"/>
      <c r="H154" s="52">
        <v>342.65</v>
      </c>
      <c r="I154" s="52">
        <v>153.12</v>
      </c>
      <c r="J154" s="52">
        <v>0</v>
      </c>
      <c r="K154" s="52">
        <v>299.86</v>
      </c>
      <c r="L154" s="52">
        <v>306.24</v>
      </c>
      <c r="M154" s="52">
        <v>542.07000000000005</v>
      </c>
      <c r="N154" s="52">
        <v>-96.88</v>
      </c>
      <c r="O154" s="52">
        <v>0</v>
      </c>
      <c r="P154" s="52">
        <v>243.32</v>
      </c>
      <c r="Q154" s="52">
        <v>606.1</v>
      </c>
      <c r="R154" s="52">
        <v>-5</v>
      </c>
      <c r="S154" s="52">
        <v>400</v>
      </c>
      <c r="T154" s="52"/>
      <c r="U154" s="52">
        <f>ROUND(SUM(H154:T154),5)</f>
        <v>2791.48</v>
      </c>
      <c r="V154" s="52">
        <v>4000</v>
      </c>
      <c r="W154" s="52">
        <v>4000</v>
      </c>
      <c r="AA154" s="56"/>
      <c r="AB154" s="86"/>
      <c r="AC154" s="86"/>
      <c r="AD154" s="86"/>
      <c r="AE154" s="86" t="s">
        <v>182</v>
      </c>
      <c r="AF154" s="86" t="s">
        <v>181</v>
      </c>
      <c r="AG154" s="86"/>
      <c r="AH154" s="90"/>
      <c r="AI154" s="90"/>
      <c r="AJ154" s="90"/>
      <c r="AK154" s="90"/>
      <c r="AL154" s="90">
        <v>298.70999999999998</v>
      </c>
      <c r="AM154" s="90">
        <v>172.26</v>
      </c>
      <c r="AN154" s="90">
        <v>191.39</v>
      </c>
      <c r="AO154" s="90">
        <v>0</v>
      </c>
      <c r="AP154" s="90">
        <v>0</v>
      </c>
      <c r="AQ154" s="90">
        <v>689.18</v>
      </c>
      <c r="AR154" s="90">
        <v>484.71</v>
      </c>
      <c r="AS154" s="90">
        <v>0</v>
      </c>
      <c r="AT154" s="90">
        <v>357.28</v>
      </c>
      <c r="AU154" s="90">
        <v>185.02</v>
      </c>
      <c r="AV154" s="90">
        <v>241.33</v>
      </c>
      <c r="AW154" s="90">
        <v>416.65</v>
      </c>
      <c r="AX154" s="90"/>
      <c r="AY154" s="91">
        <f>ROUND(SUM(AH154:AX154),5)</f>
        <v>3036.53</v>
      </c>
      <c r="AZ154" s="91">
        <v>4000</v>
      </c>
      <c r="BA154" s="91">
        <v>4000</v>
      </c>
      <c r="BB154" s="92"/>
    </row>
    <row r="155" spans="1:56" x14ac:dyDescent="0.3">
      <c r="A155" s="50"/>
      <c r="B155" s="50"/>
      <c r="C155" s="50"/>
      <c r="D155" s="50"/>
      <c r="E155" s="50" t="s">
        <v>182</v>
      </c>
      <c r="F155" s="50"/>
      <c r="G155" s="50"/>
      <c r="H155" s="51">
        <f t="shared" ref="H155:P155" si="46">ROUND(H150+SUM(H153:H154),5)</f>
        <v>342.65</v>
      </c>
      <c r="I155" s="51">
        <f t="shared" si="46"/>
        <v>153.12</v>
      </c>
      <c r="J155" s="51">
        <f t="shared" si="46"/>
        <v>0</v>
      </c>
      <c r="K155" s="51">
        <f t="shared" si="46"/>
        <v>299.86</v>
      </c>
      <c r="L155" s="51">
        <f t="shared" si="46"/>
        <v>306.24</v>
      </c>
      <c r="M155" s="51">
        <f t="shared" si="46"/>
        <v>542.07000000000005</v>
      </c>
      <c r="N155" s="51">
        <f t="shared" si="46"/>
        <v>-96.88</v>
      </c>
      <c r="O155" s="51">
        <f t="shared" si="46"/>
        <v>0</v>
      </c>
      <c r="P155" s="51">
        <f t="shared" si="46"/>
        <v>243.32</v>
      </c>
      <c r="Q155" s="51">
        <f>ROUND(Q150+SUM(Q153:Q154),5)</f>
        <v>606.1</v>
      </c>
      <c r="R155" s="51">
        <f>ROUND(R150+SUM(R153:R154),5)</f>
        <v>-5</v>
      </c>
      <c r="S155" s="51">
        <f>ROUND(S150+SUM(S153:S154),5)</f>
        <v>49342.34</v>
      </c>
      <c r="T155" s="51"/>
      <c r="U155" s="51">
        <f>ROUND(SUM(H155:T155),5)</f>
        <v>51733.82</v>
      </c>
      <c r="V155" s="51">
        <f>ROUND(V150+SUM(V153:V154),5)</f>
        <v>4000</v>
      </c>
      <c r="W155" s="51">
        <f>ROUND(W150+SUM(W153:W154),5)</f>
        <v>4000</v>
      </c>
      <c r="AB155" s="86"/>
      <c r="AC155" s="86"/>
      <c r="AD155" s="86"/>
      <c r="AE155" s="86" t="s">
        <v>183</v>
      </c>
      <c r="AF155" s="86"/>
      <c r="AG155" s="86"/>
      <c r="AH155" s="87"/>
      <c r="AI155" s="87"/>
      <c r="AJ155" s="87"/>
      <c r="AK155" s="87"/>
      <c r="AL155" s="87">
        <f t="shared" ref="AL155:AW155" si="47">ROUND(AL150+SUM(AL153:AL154),5)</f>
        <v>298.70999999999998</v>
      </c>
      <c r="AM155" s="87">
        <f t="shared" si="47"/>
        <v>172.26</v>
      </c>
      <c r="AN155" s="87">
        <f t="shared" si="47"/>
        <v>191.39</v>
      </c>
      <c r="AO155" s="87">
        <f t="shared" si="47"/>
        <v>0</v>
      </c>
      <c r="AP155" s="87">
        <f t="shared" si="47"/>
        <v>0</v>
      </c>
      <c r="AQ155" s="87">
        <f t="shared" si="47"/>
        <v>689.18</v>
      </c>
      <c r="AR155" s="87">
        <f t="shared" si="47"/>
        <v>484.71</v>
      </c>
      <c r="AS155" s="87">
        <f t="shared" si="47"/>
        <v>0</v>
      </c>
      <c r="AT155" s="87">
        <f t="shared" si="47"/>
        <v>357.28</v>
      </c>
      <c r="AU155" s="87">
        <f t="shared" si="47"/>
        <v>185.02</v>
      </c>
      <c r="AV155" s="87">
        <f t="shared" si="47"/>
        <v>241.33</v>
      </c>
      <c r="AW155" s="87">
        <f t="shared" si="47"/>
        <v>51229.56</v>
      </c>
      <c r="AX155" s="87"/>
      <c r="AY155" s="88">
        <f>ROUND(SUM(AH155:AX155),5)</f>
        <v>53849.440000000002</v>
      </c>
      <c r="AZ155" s="88">
        <f>ROUND(AZ150+SUM(AZ153:AZ154),5)</f>
        <v>4000</v>
      </c>
      <c r="BA155" s="88">
        <f>ROUND(BA150+SUM(BA153:BA154),5)</f>
        <v>4000</v>
      </c>
      <c r="BB155" s="89"/>
      <c r="BC155" s="56"/>
    </row>
    <row r="156" spans="1:56" x14ac:dyDescent="0.3">
      <c r="A156" s="50"/>
      <c r="B156" s="50"/>
      <c r="C156" s="50"/>
      <c r="D156" s="50"/>
      <c r="E156" s="50" t="s">
        <v>183</v>
      </c>
      <c r="F156" s="50"/>
      <c r="G156" s="50"/>
      <c r="H156" s="51"/>
      <c r="I156" s="51"/>
      <c r="J156" s="51"/>
      <c r="K156" s="51"/>
      <c r="L156" s="51"/>
      <c r="M156" s="51"/>
      <c r="N156" s="51"/>
      <c r="O156" s="51"/>
      <c r="P156" s="51"/>
      <c r="Q156" s="51"/>
      <c r="R156" s="51"/>
      <c r="S156" s="51"/>
      <c r="T156" s="51"/>
      <c r="U156" s="51"/>
      <c r="V156" s="51"/>
      <c r="W156" s="51"/>
      <c r="AB156" s="86"/>
      <c r="AC156" s="86"/>
      <c r="AD156" s="86"/>
      <c r="AE156" s="86"/>
      <c r="AF156" s="86"/>
      <c r="AG156" s="86"/>
      <c r="AH156" s="87"/>
      <c r="AI156" s="87"/>
      <c r="AJ156" s="87"/>
      <c r="AK156" s="87"/>
      <c r="AL156" s="87"/>
      <c r="AM156" s="87"/>
      <c r="AN156" s="87"/>
      <c r="AO156" s="87"/>
      <c r="AP156" s="87"/>
      <c r="AQ156" s="87"/>
      <c r="AR156" s="87"/>
      <c r="AS156" s="87"/>
      <c r="AT156" s="87"/>
      <c r="AU156" s="87"/>
      <c r="AV156" s="87"/>
      <c r="AW156" s="87"/>
      <c r="AX156" s="87"/>
      <c r="AY156" s="88"/>
      <c r="AZ156" s="88"/>
      <c r="BA156" s="88"/>
      <c r="BB156" s="89"/>
      <c r="BD156" s="56"/>
    </row>
    <row r="157" spans="1:56" x14ac:dyDescent="0.3">
      <c r="A157" s="50"/>
      <c r="B157" s="50"/>
      <c r="C157" s="50"/>
      <c r="D157" s="50"/>
      <c r="E157" s="50"/>
      <c r="F157" s="50" t="s">
        <v>184</v>
      </c>
      <c r="G157" s="50"/>
      <c r="H157" s="51"/>
      <c r="I157" s="51"/>
      <c r="J157" s="51"/>
      <c r="K157" s="51"/>
      <c r="L157" s="51"/>
      <c r="M157" s="51"/>
      <c r="N157" s="51"/>
      <c r="O157" s="51"/>
      <c r="P157" s="51"/>
      <c r="Q157" s="51"/>
      <c r="R157" s="51"/>
      <c r="S157" s="51"/>
      <c r="T157" s="51"/>
      <c r="U157" s="51"/>
      <c r="V157" s="51"/>
      <c r="W157" s="51"/>
      <c r="AB157" s="86"/>
      <c r="AC157" s="86"/>
      <c r="AD157" s="86"/>
      <c r="AE157" s="86"/>
      <c r="AF157" s="86" t="s">
        <v>184</v>
      </c>
      <c r="AG157" s="86"/>
      <c r="AH157" s="87"/>
      <c r="AI157" s="87"/>
      <c r="AJ157" s="87"/>
      <c r="AK157" s="87"/>
      <c r="AL157" s="87"/>
      <c r="AM157" s="87"/>
      <c r="AN157" s="87"/>
      <c r="AO157" s="87"/>
      <c r="AP157" s="87"/>
      <c r="AQ157" s="87"/>
      <c r="AR157" s="87"/>
      <c r="AS157" s="87"/>
      <c r="AT157" s="87"/>
      <c r="AU157" s="87"/>
      <c r="AV157" s="87"/>
      <c r="AW157" s="87"/>
      <c r="AX157" s="87"/>
      <c r="AY157" s="88"/>
      <c r="AZ157" s="88"/>
      <c r="BA157" s="88"/>
      <c r="BB157" s="89"/>
    </row>
    <row r="158" spans="1:56" x14ac:dyDescent="0.3">
      <c r="A158" s="50"/>
      <c r="B158" s="50"/>
      <c r="C158" s="50"/>
      <c r="D158" s="50"/>
      <c r="E158" s="50"/>
      <c r="F158" s="50"/>
      <c r="G158" s="50" t="s">
        <v>201</v>
      </c>
      <c r="H158" s="51">
        <v>0</v>
      </c>
      <c r="I158" s="51">
        <v>0</v>
      </c>
      <c r="J158" s="51">
        <v>0</v>
      </c>
      <c r="K158" s="51">
        <v>0</v>
      </c>
      <c r="L158" s="51">
        <v>0</v>
      </c>
      <c r="M158" s="51">
        <v>0</v>
      </c>
      <c r="N158" s="51">
        <v>0</v>
      </c>
      <c r="O158" s="51">
        <v>0</v>
      </c>
      <c r="P158" s="51">
        <v>0</v>
      </c>
      <c r="Q158" s="51">
        <v>0</v>
      </c>
      <c r="R158" s="51">
        <v>0</v>
      </c>
      <c r="S158" s="51">
        <v>0</v>
      </c>
      <c r="T158" s="51"/>
      <c r="U158" s="51">
        <v>0</v>
      </c>
      <c r="V158" s="67">
        <v>100000</v>
      </c>
      <c r="W158" s="67">
        <v>100000</v>
      </c>
      <c r="AB158" s="86"/>
      <c r="AC158" s="86"/>
      <c r="AD158" s="86"/>
      <c r="AE158" s="86"/>
      <c r="AF158" s="86"/>
      <c r="AG158" s="86" t="s">
        <v>201</v>
      </c>
      <c r="AH158" s="87"/>
      <c r="AI158" s="87"/>
      <c r="AJ158" s="87"/>
      <c r="AK158" s="87"/>
      <c r="AL158" s="87">
        <v>0</v>
      </c>
      <c r="AM158" s="87">
        <v>0</v>
      </c>
      <c r="AN158" s="87">
        <v>0</v>
      </c>
      <c r="AO158" s="87">
        <v>0</v>
      </c>
      <c r="AP158" s="87">
        <v>0</v>
      </c>
      <c r="AQ158" s="87">
        <v>0</v>
      </c>
      <c r="AR158" s="87">
        <v>0</v>
      </c>
      <c r="AS158" s="87">
        <v>0</v>
      </c>
      <c r="AT158" s="87">
        <v>0</v>
      </c>
      <c r="AU158" s="87">
        <v>0</v>
      </c>
      <c r="AV158" s="87">
        <v>0</v>
      </c>
      <c r="AW158" s="87">
        <v>0</v>
      </c>
      <c r="AX158" s="87"/>
      <c r="AY158" s="88">
        <f>ROUND(SUM(AH158:AX158),5)</f>
        <v>0</v>
      </c>
      <c r="AZ158" s="88">
        <v>100000</v>
      </c>
      <c r="BA158" s="88">
        <v>100000</v>
      </c>
      <c r="BB158" s="89"/>
    </row>
    <row r="159" spans="1:56" x14ac:dyDescent="0.3">
      <c r="A159" s="50"/>
      <c r="B159" s="50"/>
      <c r="C159" s="50"/>
      <c r="D159" s="50"/>
      <c r="E159" s="50"/>
      <c r="F159" s="50"/>
      <c r="G159" s="50" t="s">
        <v>202</v>
      </c>
      <c r="H159" s="51">
        <v>0</v>
      </c>
      <c r="I159" s="51">
        <v>0</v>
      </c>
      <c r="J159" s="51">
        <v>0</v>
      </c>
      <c r="K159" s="51">
        <v>0</v>
      </c>
      <c r="L159" s="51">
        <v>0</v>
      </c>
      <c r="M159" s="51">
        <v>0</v>
      </c>
      <c r="N159" s="51">
        <v>0</v>
      </c>
      <c r="O159" s="51">
        <v>1900</v>
      </c>
      <c r="P159" s="51">
        <v>0</v>
      </c>
      <c r="Q159" s="51">
        <v>0</v>
      </c>
      <c r="R159" s="51">
        <v>0</v>
      </c>
      <c r="S159" s="51">
        <v>0</v>
      </c>
      <c r="T159" s="51"/>
      <c r="U159" s="51">
        <f>ROUND(SUM(H159:T159),5)</f>
        <v>1900</v>
      </c>
      <c r="V159" s="67">
        <v>6000</v>
      </c>
      <c r="W159" s="67">
        <v>6000</v>
      </c>
      <c r="AB159" s="86"/>
      <c r="AC159" s="86"/>
      <c r="AD159" s="86"/>
      <c r="AE159" s="86"/>
      <c r="AF159" s="86"/>
      <c r="AG159" s="86" t="s">
        <v>202</v>
      </c>
      <c r="AH159" s="87"/>
      <c r="AI159" s="87"/>
      <c r="AJ159" s="87"/>
      <c r="AK159" s="87"/>
      <c r="AL159" s="87">
        <v>0</v>
      </c>
      <c r="AM159" s="87">
        <v>0</v>
      </c>
      <c r="AN159" s="87">
        <v>0</v>
      </c>
      <c r="AO159" s="87">
        <v>0</v>
      </c>
      <c r="AP159" s="87">
        <v>0</v>
      </c>
      <c r="AQ159" s="87">
        <v>0</v>
      </c>
      <c r="AR159" s="87">
        <v>0</v>
      </c>
      <c r="AS159" s="87">
        <v>0</v>
      </c>
      <c r="AT159" s="87">
        <v>0</v>
      </c>
      <c r="AU159" s="87">
        <v>0</v>
      </c>
      <c r="AV159" s="87">
        <v>0</v>
      </c>
      <c r="AW159" s="87">
        <v>0</v>
      </c>
      <c r="AX159" s="87"/>
      <c r="AY159" s="88">
        <f>ROUND(SUM(AH159:AX159),5)</f>
        <v>0</v>
      </c>
      <c r="AZ159" s="88">
        <v>6000</v>
      </c>
      <c r="BA159" s="88">
        <v>6000</v>
      </c>
      <c r="BB159" s="89"/>
    </row>
    <row r="160" spans="1:56" x14ac:dyDescent="0.3">
      <c r="A160" s="50"/>
      <c r="B160" s="50"/>
      <c r="C160" s="50"/>
      <c r="D160" s="50"/>
      <c r="E160" s="50"/>
      <c r="F160" s="50"/>
      <c r="G160" s="50" t="s">
        <v>185</v>
      </c>
      <c r="H160" s="51">
        <v>0</v>
      </c>
      <c r="I160" s="51">
        <v>0</v>
      </c>
      <c r="J160" s="51">
        <v>0</v>
      </c>
      <c r="K160" s="51">
        <v>0</v>
      </c>
      <c r="L160" s="51">
        <v>0</v>
      </c>
      <c r="M160" s="51">
        <v>0</v>
      </c>
      <c r="N160" s="51">
        <v>0</v>
      </c>
      <c r="O160" s="51">
        <v>0</v>
      </c>
      <c r="P160" s="51">
        <v>0</v>
      </c>
      <c r="Q160" s="51">
        <v>0</v>
      </c>
      <c r="R160" s="51">
        <v>0</v>
      </c>
      <c r="S160" s="51">
        <v>0</v>
      </c>
      <c r="T160" s="51"/>
      <c r="U160" s="51">
        <v>0</v>
      </c>
      <c r="V160" s="67">
        <v>7500</v>
      </c>
      <c r="W160" s="67">
        <v>7500</v>
      </c>
      <c r="AB160" s="86"/>
      <c r="AC160" s="86"/>
      <c r="AD160" s="86"/>
      <c r="AE160" s="86"/>
      <c r="AF160" s="86"/>
      <c r="AG160" s="86" t="s">
        <v>185</v>
      </c>
      <c r="AH160" s="87"/>
      <c r="AI160" s="87"/>
      <c r="AJ160" s="87"/>
      <c r="AK160" s="87"/>
      <c r="AL160" s="87">
        <v>0</v>
      </c>
      <c r="AM160" s="87">
        <v>0</v>
      </c>
      <c r="AN160" s="87">
        <v>0</v>
      </c>
      <c r="AO160" s="87">
        <v>0</v>
      </c>
      <c r="AP160" s="87">
        <v>0</v>
      </c>
      <c r="AQ160" s="87">
        <v>0</v>
      </c>
      <c r="AR160" s="87">
        <v>0</v>
      </c>
      <c r="AS160" s="87">
        <v>0</v>
      </c>
      <c r="AT160" s="87">
        <v>0</v>
      </c>
      <c r="AU160" s="87">
        <v>0</v>
      </c>
      <c r="AV160" s="87">
        <v>0</v>
      </c>
      <c r="AW160" s="87">
        <v>0</v>
      </c>
      <c r="AX160" s="87"/>
      <c r="AY160" s="88">
        <f>ROUND(SUM(AH160:AX160),5)</f>
        <v>0</v>
      </c>
      <c r="AZ160" s="88">
        <v>7500</v>
      </c>
      <c r="BA160" s="88">
        <v>7500</v>
      </c>
      <c r="BB160" s="89"/>
    </row>
    <row r="161" spans="1:56" ht="15" thickBot="1" x14ac:dyDescent="0.35">
      <c r="A161" s="50"/>
      <c r="B161" s="50"/>
      <c r="C161" s="50"/>
      <c r="D161" s="50"/>
      <c r="E161" s="50"/>
      <c r="F161" s="50"/>
      <c r="G161" s="50" t="s">
        <v>239</v>
      </c>
      <c r="H161" s="51">
        <v>0</v>
      </c>
      <c r="I161" s="51">
        <v>0</v>
      </c>
      <c r="J161" s="51">
        <v>0</v>
      </c>
      <c r="K161" s="51">
        <v>0</v>
      </c>
      <c r="L161" s="51">
        <v>0</v>
      </c>
      <c r="M161" s="51">
        <v>0</v>
      </c>
      <c r="N161" s="51">
        <v>0</v>
      </c>
      <c r="O161" s="51">
        <v>0</v>
      </c>
      <c r="P161" s="51">
        <v>0</v>
      </c>
      <c r="Q161" s="51">
        <v>0</v>
      </c>
      <c r="R161" s="51">
        <v>0</v>
      </c>
      <c r="S161" s="51">
        <v>0</v>
      </c>
      <c r="T161" s="51"/>
      <c r="U161" s="51">
        <v>0</v>
      </c>
      <c r="V161" s="67">
        <v>6000</v>
      </c>
      <c r="W161" s="67">
        <v>6000</v>
      </c>
      <c r="AB161" s="86"/>
      <c r="AC161" s="86"/>
      <c r="AD161" s="86"/>
      <c r="AE161" s="86"/>
      <c r="AF161" s="86"/>
      <c r="AG161" s="86" t="s">
        <v>239</v>
      </c>
      <c r="AH161" s="87"/>
      <c r="AI161" s="87"/>
      <c r="AJ161" s="87"/>
      <c r="AK161" s="87"/>
      <c r="AL161" s="87">
        <v>0</v>
      </c>
      <c r="AM161" s="87">
        <v>0</v>
      </c>
      <c r="AN161" s="87">
        <v>0</v>
      </c>
      <c r="AO161" s="87">
        <v>0</v>
      </c>
      <c r="AP161" s="87">
        <v>0</v>
      </c>
      <c r="AQ161" s="87">
        <v>0</v>
      </c>
      <c r="AR161" s="87">
        <v>0</v>
      </c>
      <c r="AS161" s="87">
        <v>0</v>
      </c>
      <c r="AT161" s="87">
        <v>0</v>
      </c>
      <c r="AU161" s="87">
        <v>0</v>
      </c>
      <c r="AV161" s="87">
        <v>0</v>
      </c>
      <c r="AW161" s="87">
        <v>0</v>
      </c>
      <c r="AX161" s="87"/>
      <c r="AY161" s="88">
        <f>ROUND(SUM(AH161:AX161),5)</f>
        <v>0</v>
      </c>
      <c r="AZ161" s="88">
        <v>6000</v>
      </c>
      <c r="BA161" s="88">
        <v>6000</v>
      </c>
      <c r="BB161" s="89"/>
    </row>
    <row r="162" spans="1:56" ht="15" thickBot="1" x14ac:dyDescent="0.35">
      <c r="A162" s="50"/>
      <c r="B162" s="50"/>
      <c r="C162" s="50"/>
      <c r="D162" s="50"/>
      <c r="E162" s="50"/>
      <c r="F162" s="50" t="s">
        <v>186</v>
      </c>
      <c r="G162" s="50"/>
      <c r="H162" s="53">
        <f t="shared" ref="H162:S162" si="48">ROUND(SUM(H157:H159),5)</f>
        <v>0</v>
      </c>
      <c r="I162" s="53">
        <f t="shared" si="48"/>
        <v>0</v>
      </c>
      <c r="J162" s="53">
        <f t="shared" si="48"/>
        <v>0</v>
      </c>
      <c r="K162" s="53">
        <f t="shared" si="48"/>
        <v>0</v>
      </c>
      <c r="L162" s="53">
        <f t="shared" si="48"/>
        <v>0</v>
      </c>
      <c r="M162" s="53">
        <f t="shared" si="48"/>
        <v>0</v>
      </c>
      <c r="N162" s="53">
        <f t="shared" si="48"/>
        <v>0</v>
      </c>
      <c r="O162" s="53">
        <f t="shared" si="48"/>
        <v>1900</v>
      </c>
      <c r="P162" s="53">
        <f t="shared" si="48"/>
        <v>0</v>
      </c>
      <c r="Q162" s="53">
        <f t="shared" si="48"/>
        <v>0</v>
      </c>
      <c r="R162" s="53">
        <f t="shared" si="48"/>
        <v>0</v>
      </c>
      <c r="S162" s="53">
        <f t="shared" si="48"/>
        <v>0</v>
      </c>
      <c r="T162" s="53"/>
      <c r="U162" s="53">
        <f>ROUND(SUM(H162:T162),5)</f>
        <v>1900</v>
      </c>
      <c r="V162" s="53">
        <f>ROUND(SUM(V157:V161),5)</f>
        <v>119500</v>
      </c>
      <c r="W162" s="53">
        <f>ROUND(SUM(W157:W161),5)</f>
        <v>119500</v>
      </c>
      <c r="AB162" s="86"/>
      <c r="AC162" s="86"/>
      <c r="AD162" s="86"/>
      <c r="AE162" s="86"/>
      <c r="AF162" s="86" t="s">
        <v>186</v>
      </c>
      <c r="AG162" s="86"/>
      <c r="AH162" s="93"/>
      <c r="AI162" s="93"/>
      <c r="AJ162" s="93"/>
      <c r="AK162" s="93"/>
      <c r="AL162" s="93">
        <f t="shared" ref="AL162:AW162" si="49">ROUND(SUM(AL157:AL161),5)</f>
        <v>0</v>
      </c>
      <c r="AM162" s="93">
        <f t="shared" si="49"/>
        <v>0</v>
      </c>
      <c r="AN162" s="93">
        <f t="shared" si="49"/>
        <v>0</v>
      </c>
      <c r="AO162" s="93">
        <f t="shared" si="49"/>
        <v>0</v>
      </c>
      <c r="AP162" s="93">
        <f t="shared" si="49"/>
        <v>0</v>
      </c>
      <c r="AQ162" s="93">
        <f t="shared" si="49"/>
        <v>0</v>
      </c>
      <c r="AR162" s="93">
        <f t="shared" si="49"/>
        <v>0</v>
      </c>
      <c r="AS162" s="93">
        <f t="shared" si="49"/>
        <v>0</v>
      </c>
      <c r="AT162" s="93">
        <f t="shared" si="49"/>
        <v>0</v>
      </c>
      <c r="AU162" s="93">
        <f t="shared" si="49"/>
        <v>0</v>
      </c>
      <c r="AV162" s="93">
        <f t="shared" si="49"/>
        <v>0</v>
      </c>
      <c r="AW162" s="93">
        <f t="shared" si="49"/>
        <v>0</v>
      </c>
      <c r="AX162" s="93"/>
      <c r="AY162" s="94">
        <f>ROUND(SUM(AH162:AX162),5)</f>
        <v>0</v>
      </c>
      <c r="AZ162" s="94">
        <f>ROUND(SUM(AZ157:AZ161),5)</f>
        <v>119500</v>
      </c>
      <c r="BA162" s="94">
        <f>ROUND(SUM(BA157:BA161),5)</f>
        <v>119500</v>
      </c>
      <c r="BB162" s="95"/>
    </row>
    <row r="163" spans="1:56" x14ac:dyDescent="0.3">
      <c r="A163" s="50"/>
      <c r="B163" s="50"/>
      <c r="C163" s="50"/>
      <c r="D163" s="50"/>
      <c r="E163" s="50"/>
      <c r="F163" s="50" t="s">
        <v>187</v>
      </c>
      <c r="G163" s="50"/>
      <c r="H163" s="51"/>
      <c r="I163" s="51"/>
      <c r="J163" s="51"/>
      <c r="K163" s="51"/>
      <c r="L163" s="51"/>
      <c r="M163" s="51"/>
      <c r="N163" s="51"/>
      <c r="O163" s="51"/>
      <c r="P163" s="51"/>
      <c r="Q163" s="51"/>
      <c r="R163" s="51"/>
      <c r="S163" s="51"/>
      <c r="T163" s="51"/>
      <c r="U163" s="51"/>
      <c r="V163" s="51"/>
      <c r="W163" s="51"/>
      <c r="AB163" s="86"/>
      <c r="AC163" s="86"/>
      <c r="AD163" s="86"/>
      <c r="AE163" s="86"/>
      <c r="AF163" s="86" t="s">
        <v>187</v>
      </c>
      <c r="AG163" s="86"/>
      <c r="AH163" s="87"/>
      <c r="AI163" s="87"/>
      <c r="AJ163" s="87"/>
      <c r="AK163" s="87"/>
      <c r="AL163" s="87"/>
      <c r="AM163" s="87"/>
      <c r="AN163" s="87"/>
      <c r="AO163" s="87"/>
      <c r="AP163" s="87"/>
      <c r="AQ163" s="87"/>
      <c r="AR163" s="87"/>
      <c r="AS163" s="87"/>
      <c r="AT163" s="87"/>
      <c r="AU163" s="87"/>
      <c r="AV163" s="87"/>
      <c r="AW163" s="87"/>
      <c r="AX163" s="87"/>
      <c r="AY163" s="88"/>
      <c r="AZ163" s="88"/>
      <c r="BA163" s="88"/>
      <c r="BB163" s="89"/>
    </row>
    <row r="164" spans="1:56" ht="15" thickBot="1" x14ac:dyDescent="0.35">
      <c r="A164" s="50"/>
      <c r="B164" s="50"/>
      <c r="C164" s="50"/>
      <c r="D164" s="50"/>
      <c r="E164" s="50"/>
      <c r="F164" s="50"/>
      <c r="G164" s="50" t="s">
        <v>188</v>
      </c>
      <c r="H164" s="52">
        <v>6935</v>
      </c>
      <c r="I164" s="52">
        <v>1357</v>
      </c>
      <c r="J164" s="52">
        <v>0</v>
      </c>
      <c r="K164" s="52">
        <v>0</v>
      </c>
      <c r="L164" s="52">
        <v>0</v>
      </c>
      <c r="M164" s="52">
        <v>0</v>
      </c>
      <c r="N164" s="52">
        <v>0</v>
      </c>
      <c r="O164" s="52">
        <v>0</v>
      </c>
      <c r="P164" s="52">
        <v>355787.84</v>
      </c>
      <c r="Q164" s="52">
        <v>9486.81</v>
      </c>
      <c r="R164" s="52">
        <v>261853.25</v>
      </c>
      <c r="S164" s="52">
        <v>350000</v>
      </c>
      <c r="T164" s="52"/>
      <c r="U164" s="52">
        <f>ROUND(SUM(H164:T164),5)</f>
        <v>985419.9</v>
      </c>
      <c r="V164" s="52">
        <v>150000</v>
      </c>
      <c r="W164" s="114">
        <v>1600000</v>
      </c>
      <c r="X164" s="68" t="s">
        <v>298</v>
      </c>
      <c r="AB164" s="86"/>
      <c r="AC164" s="86"/>
      <c r="AD164" s="86"/>
      <c r="AE164" s="86"/>
      <c r="AF164" s="86"/>
      <c r="AG164" s="86" t="s">
        <v>188</v>
      </c>
      <c r="AH164" s="90"/>
      <c r="AI164" s="90"/>
      <c r="AJ164" s="90"/>
      <c r="AK164" s="90"/>
      <c r="AL164" s="90">
        <v>0</v>
      </c>
      <c r="AM164" s="90">
        <v>0</v>
      </c>
      <c r="AN164" s="90">
        <v>5379.38</v>
      </c>
      <c r="AO164" s="90">
        <v>0</v>
      </c>
      <c r="AP164" s="90">
        <v>0</v>
      </c>
      <c r="AQ164" s="90">
        <v>0</v>
      </c>
      <c r="AR164" s="90">
        <v>0</v>
      </c>
      <c r="AS164" s="90">
        <v>0</v>
      </c>
      <c r="AT164" s="90">
        <v>0</v>
      </c>
      <c r="AU164" s="90">
        <v>0</v>
      </c>
      <c r="AV164" s="90">
        <v>0</v>
      </c>
      <c r="AW164" s="90">
        <v>0</v>
      </c>
      <c r="AX164" s="90"/>
      <c r="AY164" s="91">
        <f>ROUND(SUM(AH164:AX164),5)</f>
        <v>5379.38</v>
      </c>
      <c r="AZ164" s="91">
        <v>150000</v>
      </c>
      <c r="BA164" s="91">
        <v>150000</v>
      </c>
      <c r="BB164" s="92" t="s">
        <v>251</v>
      </c>
    </row>
    <row r="165" spans="1:56" x14ac:dyDescent="0.3">
      <c r="A165" s="50"/>
      <c r="B165" s="50"/>
      <c r="C165" s="50"/>
      <c r="D165" s="50"/>
      <c r="E165" s="50"/>
      <c r="F165" s="50" t="s">
        <v>189</v>
      </c>
      <c r="G165" s="50"/>
      <c r="H165" s="51">
        <f t="shared" ref="H165:P165" si="50">ROUND(SUM(H163:H164),5)</f>
        <v>6935</v>
      </c>
      <c r="I165" s="51">
        <f t="shared" si="50"/>
        <v>1357</v>
      </c>
      <c r="J165" s="51">
        <f t="shared" si="50"/>
        <v>0</v>
      </c>
      <c r="K165" s="51">
        <f t="shared" si="50"/>
        <v>0</v>
      </c>
      <c r="L165" s="51">
        <f t="shared" si="50"/>
        <v>0</v>
      </c>
      <c r="M165" s="51">
        <f t="shared" si="50"/>
        <v>0</v>
      </c>
      <c r="N165" s="51">
        <f t="shared" si="50"/>
        <v>0</v>
      </c>
      <c r="O165" s="51">
        <f t="shared" si="50"/>
        <v>0</v>
      </c>
      <c r="P165" s="51">
        <f t="shared" si="50"/>
        <v>355787.84</v>
      </c>
      <c r="Q165" s="51">
        <f>ROUND(SUM(Q163:Q164),5)</f>
        <v>9486.81</v>
      </c>
      <c r="R165" s="51">
        <f>ROUND(SUM(R163:R164),5)</f>
        <v>261853.25</v>
      </c>
      <c r="S165" s="51">
        <f>ROUND(SUM(S163:S164),5)</f>
        <v>350000</v>
      </c>
      <c r="T165" s="51"/>
      <c r="U165" s="51">
        <f>ROUND(SUM(H165:T165),5)</f>
        <v>985419.9</v>
      </c>
      <c r="V165" s="51">
        <f>ROUND(SUM(V163:V164),5)</f>
        <v>150000</v>
      </c>
      <c r="W165" s="51">
        <f>ROUND(SUM(W163:W164),5)</f>
        <v>1600000</v>
      </c>
      <c r="AB165" s="86"/>
      <c r="AC165" s="86"/>
      <c r="AD165" s="86"/>
      <c r="AE165" s="86"/>
      <c r="AF165" s="86" t="s">
        <v>189</v>
      </c>
      <c r="AG165" s="86"/>
      <c r="AH165" s="87"/>
      <c r="AI165" s="87"/>
      <c r="AJ165" s="87"/>
      <c r="AK165" s="87"/>
      <c r="AL165" s="87">
        <f t="shared" ref="AL165:AW165" si="51">ROUND(SUM(AL163:AL164),5)</f>
        <v>0</v>
      </c>
      <c r="AM165" s="87">
        <f t="shared" si="51"/>
        <v>0</v>
      </c>
      <c r="AN165" s="87">
        <f t="shared" si="51"/>
        <v>5379.38</v>
      </c>
      <c r="AO165" s="87">
        <f t="shared" si="51"/>
        <v>0</v>
      </c>
      <c r="AP165" s="87">
        <f t="shared" si="51"/>
        <v>0</v>
      </c>
      <c r="AQ165" s="87">
        <f t="shared" si="51"/>
        <v>0</v>
      </c>
      <c r="AR165" s="87">
        <f t="shared" si="51"/>
        <v>0</v>
      </c>
      <c r="AS165" s="87">
        <f t="shared" si="51"/>
        <v>0</v>
      </c>
      <c r="AT165" s="87">
        <f t="shared" si="51"/>
        <v>0</v>
      </c>
      <c r="AU165" s="87">
        <f t="shared" si="51"/>
        <v>0</v>
      </c>
      <c r="AV165" s="87">
        <f t="shared" si="51"/>
        <v>0</v>
      </c>
      <c r="AW165" s="87">
        <f t="shared" si="51"/>
        <v>0</v>
      </c>
      <c r="AX165" s="87"/>
      <c r="AY165" s="88">
        <f>ROUND(SUM(AH165:AX165),5)</f>
        <v>5379.38</v>
      </c>
      <c r="AZ165" s="88">
        <f>ROUND(SUM(AZ163:AZ164),5)</f>
        <v>150000</v>
      </c>
      <c r="BA165" s="88">
        <f>ROUND(SUM(BA163:BA164),5)</f>
        <v>150000</v>
      </c>
      <c r="BB165" s="89"/>
    </row>
    <row r="166" spans="1:56" x14ac:dyDescent="0.3">
      <c r="A166" s="50"/>
      <c r="B166" s="50"/>
      <c r="C166" s="50"/>
      <c r="D166" s="50"/>
      <c r="E166" s="50"/>
      <c r="F166" s="50" t="s">
        <v>190</v>
      </c>
      <c r="G166" s="50"/>
      <c r="H166" s="51"/>
      <c r="I166" s="51"/>
      <c r="J166" s="51"/>
      <c r="K166" s="51"/>
      <c r="L166" s="51"/>
      <c r="M166" s="51"/>
      <c r="N166" s="51"/>
      <c r="O166" s="51"/>
      <c r="P166" s="51"/>
      <c r="Q166" s="51"/>
      <c r="R166" s="51"/>
      <c r="S166" s="51"/>
      <c r="T166" s="51"/>
      <c r="U166" s="51"/>
      <c r="V166" s="51"/>
      <c r="W166" s="51"/>
      <c r="AB166" s="86"/>
      <c r="AC166" s="86"/>
      <c r="AD166" s="86"/>
      <c r="AE166" s="86"/>
      <c r="AF166" s="86" t="s">
        <v>190</v>
      </c>
      <c r="AG166" s="86"/>
      <c r="AH166" s="87"/>
      <c r="AI166" s="87"/>
      <c r="AJ166" s="87"/>
      <c r="AK166" s="87"/>
      <c r="AL166" s="87"/>
      <c r="AM166" s="87"/>
      <c r="AN166" s="87"/>
      <c r="AO166" s="87"/>
      <c r="AP166" s="87"/>
      <c r="AQ166" s="87"/>
      <c r="AR166" s="87"/>
      <c r="AS166" s="87"/>
      <c r="AT166" s="87"/>
      <c r="AU166" s="87"/>
      <c r="AV166" s="87"/>
      <c r="AW166" s="87"/>
      <c r="AX166" s="87"/>
      <c r="AY166" s="88"/>
      <c r="AZ166" s="88"/>
      <c r="BA166" s="88"/>
      <c r="BB166" s="89"/>
    </row>
    <row r="167" spans="1:56" x14ac:dyDescent="0.3">
      <c r="A167" s="50"/>
      <c r="B167" s="50"/>
      <c r="C167" s="50"/>
      <c r="D167" s="50"/>
      <c r="E167" s="50"/>
      <c r="F167" s="50"/>
      <c r="G167" s="50" t="s">
        <v>191</v>
      </c>
      <c r="H167" s="51">
        <v>0</v>
      </c>
      <c r="I167" s="51">
        <v>0</v>
      </c>
      <c r="J167" s="51">
        <v>0</v>
      </c>
      <c r="K167" s="51">
        <v>0</v>
      </c>
      <c r="L167" s="51">
        <v>0</v>
      </c>
      <c r="M167" s="51">
        <v>0</v>
      </c>
      <c r="N167" s="51">
        <v>0</v>
      </c>
      <c r="O167" s="51">
        <v>0</v>
      </c>
      <c r="P167" s="51">
        <v>0</v>
      </c>
      <c r="Q167" s="51">
        <v>0</v>
      </c>
      <c r="R167" s="51">
        <v>0</v>
      </c>
      <c r="S167" s="51">
        <v>0</v>
      </c>
      <c r="T167" s="51"/>
      <c r="U167" s="51">
        <v>0</v>
      </c>
      <c r="V167" s="67">
        <v>60000</v>
      </c>
      <c r="W167" s="67">
        <v>60000</v>
      </c>
      <c r="AB167" s="86"/>
      <c r="AC167" s="86"/>
      <c r="AD167" s="86"/>
      <c r="AE167" s="86"/>
      <c r="AF167" s="86"/>
      <c r="AG167" s="86" t="s">
        <v>191</v>
      </c>
      <c r="AH167" s="87"/>
      <c r="AI167" s="87"/>
      <c r="AJ167" s="87"/>
      <c r="AK167" s="87"/>
      <c r="AL167" s="87">
        <v>0</v>
      </c>
      <c r="AM167" s="87">
        <v>0</v>
      </c>
      <c r="AN167" s="87">
        <v>0</v>
      </c>
      <c r="AO167" s="87">
        <v>0</v>
      </c>
      <c r="AP167" s="87">
        <v>0</v>
      </c>
      <c r="AQ167" s="87">
        <v>0</v>
      </c>
      <c r="AR167" s="87">
        <v>0</v>
      </c>
      <c r="AS167" s="87">
        <v>0</v>
      </c>
      <c r="AT167" s="87">
        <v>9137.67</v>
      </c>
      <c r="AU167" s="87">
        <v>0</v>
      </c>
      <c r="AV167" s="87">
        <v>0</v>
      </c>
      <c r="AW167" s="87">
        <v>0</v>
      </c>
      <c r="AX167" s="87"/>
      <c r="AY167" s="88">
        <f>ROUND(SUM(AH167:AX167),5)</f>
        <v>9137.67</v>
      </c>
      <c r="AZ167" s="88">
        <v>75000</v>
      </c>
      <c r="BA167" s="88">
        <v>60000</v>
      </c>
      <c r="BB167" s="89"/>
    </row>
    <row r="168" spans="1:56" x14ac:dyDescent="0.3">
      <c r="A168" s="50"/>
      <c r="B168" s="50"/>
      <c r="C168" s="50"/>
      <c r="D168" s="50"/>
      <c r="E168" s="50"/>
      <c r="F168" s="50"/>
      <c r="G168" s="50" t="s">
        <v>192</v>
      </c>
      <c r="H168" s="51">
        <v>0</v>
      </c>
      <c r="I168" s="51">
        <v>0</v>
      </c>
      <c r="J168" s="51">
        <v>0</v>
      </c>
      <c r="K168" s="51">
        <v>0</v>
      </c>
      <c r="L168" s="51">
        <v>0</v>
      </c>
      <c r="M168" s="51">
        <v>0</v>
      </c>
      <c r="N168" s="51">
        <v>0</v>
      </c>
      <c r="O168" s="51">
        <v>0</v>
      </c>
      <c r="P168" s="51">
        <v>0</v>
      </c>
      <c r="Q168" s="51">
        <v>0</v>
      </c>
      <c r="R168" s="51">
        <v>0</v>
      </c>
      <c r="S168" s="51">
        <v>0</v>
      </c>
      <c r="T168" s="51"/>
      <c r="U168" s="51">
        <v>0</v>
      </c>
      <c r="V168" s="67">
        <v>17000</v>
      </c>
      <c r="W168" s="67">
        <v>17000</v>
      </c>
      <c r="AB168" s="86"/>
      <c r="AC168" s="86"/>
      <c r="AD168" s="86"/>
      <c r="AE168" s="86"/>
      <c r="AF168" s="86"/>
      <c r="AG168" s="86" t="s">
        <v>192</v>
      </c>
      <c r="AH168" s="87"/>
      <c r="AI168" s="87"/>
      <c r="AJ168" s="87"/>
      <c r="AK168" s="87"/>
      <c r="AL168" s="87">
        <v>0</v>
      </c>
      <c r="AM168" s="87">
        <v>0</v>
      </c>
      <c r="AN168" s="87">
        <v>0</v>
      </c>
      <c r="AO168" s="87">
        <v>0</v>
      </c>
      <c r="AP168" s="87">
        <v>0</v>
      </c>
      <c r="AQ168" s="87">
        <v>0</v>
      </c>
      <c r="AR168" s="87">
        <v>0</v>
      </c>
      <c r="AS168" s="87">
        <v>2082.06</v>
      </c>
      <c r="AT168" s="87">
        <v>0</v>
      </c>
      <c r="AU168" s="87">
        <v>0</v>
      </c>
      <c r="AV168" s="87">
        <v>0</v>
      </c>
      <c r="AW168" s="87">
        <v>0</v>
      </c>
      <c r="AX168" s="87"/>
      <c r="AY168" s="88">
        <f>ROUND(SUM(AH168:AX168),5)</f>
        <v>2082.06</v>
      </c>
      <c r="AZ168" s="88">
        <v>17000</v>
      </c>
      <c r="BA168" s="88">
        <v>17000</v>
      </c>
      <c r="BB168" s="89"/>
    </row>
    <row r="169" spans="1:56" ht="22.2" thickBot="1" x14ac:dyDescent="0.35">
      <c r="A169" s="50"/>
      <c r="B169" s="50"/>
      <c r="C169" s="50"/>
      <c r="D169" s="50"/>
      <c r="E169" s="50"/>
      <c r="F169" s="50"/>
      <c r="G169" s="50" t="s">
        <v>193</v>
      </c>
      <c r="H169" s="52">
        <v>0</v>
      </c>
      <c r="I169" s="52">
        <v>1945</v>
      </c>
      <c r="J169" s="52">
        <v>0</v>
      </c>
      <c r="K169" s="52">
        <v>0</v>
      </c>
      <c r="L169" s="52">
        <v>0</v>
      </c>
      <c r="M169" s="52">
        <v>0</v>
      </c>
      <c r="N169" s="52">
        <v>0</v>
      </c>
      <c r="O169" s="52">
        <v>0</v>
      </c>
      <c r="P169" s="52">
        <v>0</v>
      </c>
      <c r="Q169" s="52">
        <v>0</v>
      </c>
      <c r="R169" s="52">
        <v>0</v>
      </c>
      <c r="S169" s="52">
        <v>0</v>
      </c>
      <c r="T169" s="52"/>
      <c r="U169" s="52">
        <f>ROUND(SUM(H169:T169),5)</f>
        <v>1945</v>
      </c>
      <c r="V169" s="52">
        <v>5000</v>
      </c>
      <c r="W169" s="52">
        <v>6000</v>
      </c>
      <c r="X169" s="68" t="s">
        <v>253</v>
      </c>
      <c r="AA169" s="56"/>
      <c r="AB169" s="86"/>
      <c r="AC169" s="86"/>
      <c r="AD169" s="86"/>
      <c r="AE169" s="86"/>
      <c r="AF169" s="86"/>
      <c r="AG169" s="86" t="s">
        <v>193</v>
      </c>
      <c r="AH169" s="90"/>
      <c r="AI169" s="90"/>
      <c r="AJ169" s="90"/>
      <c r="AK169" s="90"/>
      <c r="AL169" s="90">
        <v>0</v>
      </c>
      <c r="AM169" s="90">
        <v>1945</v>
      </c>
      <c r="AN169" s="90">
        <v>0</v>
      </c>
      <c r="AO169" s="90">
        <v>0</v>
      </c>
      <c r="AP169" s="90">
        <v>0</v>
      </c>
      <c r="AQ169" s="90">
        <v>0</v>
      </c>
      <c r="AR169" s="90">
        <v>0</v>
      </c>
      <c r="AS169" s="90">
        <v>0</v>
      </c>
      <c r="AT169" s="90">
        <v>0</v>
      </c>
      <c r="AU169" s="90">
        <v>0</v>
      </c>
      <c r="AV169" s="90">
        <v>0</v>
      </c>
      <c r="AW169" s="90">
        <v>0</v>
      </c>
      <c r="AX169" s="90"/>
      <c r="AY169" s="91">
        <f>ROUND(SUM(AH169:AX169),5)</f>
        <v>1945</v>
      </c>
      <c r="AZ169" s="91">
        <v>5000</v>
      </c>
      <c r="BA169" s="91">
        <v>5000</v>
      </c>
      <c r="BB169" s="92" t="s">
        <v>253</v>
      </c>
    </row>
    <row r="170" spans="1:56" ht="15" thickBot="1" x14ac:dyDescent="0.35">
      <c r="A170" s="50"/>
      <c r="B170" s="50"/>
      <c r="C170" s="50"/>
      <c r="D170" s="50"/>
      <c r="E170" s="50"/>
      <c r="F170" s="50" t="s">
        <v>194</v>
      </c>
      <c r="G170" s="50"/>
      <c r="H170" s="52">
        <f t="shared" ref="H170:S170" si="52">ROUND(SUM(H166:H169),5)</f>
        <v>0</v>
      </c>
      <c r="I170" s="52">
        <f t="shared" si="52"/>
        <v>1945</v>
      </c>
      <c r="J170" s="52">
        <f t="shared" si="52"/>
        <v>0</v>
      </c>
      <c r="K170" s="52">
        <f t="shared" si="52"/>
        <v>0</v>
      </c>
      <c r="L170" s="52">
        <f t="shared" si="52"/>
        <v>0</v>
      </c>
      <c r="M170" s="52">
        <f t="shared" si="52"/>
        <v>0</v>
      </c>
      <c r="N170" s="52">
        <f t="shared" si="52"/>
        <v>0</v>
      </c>
      <c r="O170" s="52">
        <f t="shared" si="52"/>
        <v>0</v>
      </c>
      <c r="P170" s="52">
        <f t="shared" si="52"/>
        <v>0</v>
      </c>
      <c r="Q170" s="52">
        <f t="shared" si="52"/>
        <v>0</v>
      </c>
      <c r="R170" s="52">
        <f t="shared" si="52"/>
        <v>0</v>
      </c>
      <c r="S170" s="52">
        <f t="shared" si="52"/>
        <v>0</v>
      </c>
      <c r="T170" s="52"/>
      <c r="U170" s="52">
        <f>ROUND(SUM(H170:T170),5)</f>
        <v>1945</v>
      </c>
      <c r="V170" s="52">
        <f>ROUND(SUM(V166:V169),5)</f>
        <v>82000</v>
      </c>
      <c r="W170" s="114">
        <f>ROUND(SUM(W166:W169),5)</f>
        <v>83000</v>
      </c>
      <c r="AB170" s="86"/>
      <c r="AC170" s="86"/>
      <c r="AD170" s="86"/>
      <c r="AE170" s="86" t="s">
        <v>195</v>
      </c>
      <c r="AF170" s="86" t="s">
        <v>194</v>
      </c>
      <c r="AG170" s="86"/>
      <c r="AH170" s="90"/>
      <c r="AI170" s="90"/>
      <c r="AJ170" s="90"/>
      <c r="AK170" s="90"/>
      <c r="AL170" s="90">
        <f t="shared" ref="AL170:AW170" si="53">ROUND(SUM(AL166:AL169),5)</f>
        <v>0</v>
      </c>
      <c r="AM170" s="90">
        <f t="shared" si="53"/>
        <v>1945</v>
      </c>
      <c r="AN170" s="90">
        <f t="shared" si="53"/>
        <v>0</v>
      </c>
      <c r="AO170" s="90">
        <f t="shared" si="53"/>
        <v>0</v>
      </c>
      <c r="AP170" s="90">
        <f t="shared" si="53"/>
        <v>0</v>
      </c>
      <c r="AQ170" s="90">
        <f t="shared" si="53"/>
        <v>0</v>
      </c>
      <c r="AR170" s="90">
        <f t="shared" si="53"/>
        <v>0</v>
      </c>
      <c r="AS170" s="90">
        <f t="shared" si="53"/>
        <v>2082.06</v>
      </c>
      <c r="AT170" s="90">
        <f t="shared" si="53"/>
        <v>9137.67</v>
      </c>
      <c r="AU170" s="90">
        <f t="shared" si="53"/>
        <v>0</v>
      </c>
      <c r="AV170" s="90">
        <f t="shared" si="53"/>
        <v>0</v>
      </c>
      <c r="AW170" s="90">
        <f t="shared" si="53"/>
        <v>0</v>
      </c>
      <c r="AX170" s="90"/>
      <c r="AY170" s="91">
        <f>ROUND(SUM(AH170:AX170),5)</f>
        <v>13164.73</v>
      </c>
      <c r="AZ170" s="91">
        <f>ROUND(SUM(AZ166:AZ169),5)</f>
        <v>97000</v>
      </c>
      <c r="BA170" s="91">
        <f>ROUND(SUM(BA166:BA169),5)</f>
        <v>82000</v>
      </c>
      <c r="BB170" s="92"/>
    </row>
    <row r="171" spans="1:56" ht="15" thickBot="1" x14ac:dyDescent="0.35">
      <c r="A171" s="50"/>
      <c r="B171" s="50"/>
      <c r="C171" s="50"/>
      <c r="D171" s="50"/>
      <c r="E171" s="50" t="s">
        <v>195</v>
      </c>
      <c r="F171" s="50"/>
      <c r="G171" s="50"/>
      <c r="H171" s="54">
        <f t="shared" ref="H171:S171" si="54">ROUND(H156+H162+H165+H170,5)</f>
        <v>6935</v>
      </c>
      <c r="I171" s="54">
        <f t="shared" si="54"/>
        <v>3302</v>
      </c>
      <c r="J171" s="54">
        <f t="shared" si="54"/>
        <v>0</v>
      </c>
      <c r="K171" s="54">
        <f t="shared" si="54"/>
        <v>0</v>
      </c>
      <c r="L171" s="54">
        <f t="shared" si="54"/>
        <v>0</v>
      </c>
      <c r="M171" s="54">
        <f t="shared" si="54"/>
        <v>0</v>
      </c>
      <c r="N171" s="54">
        <f t="shared" si="54"/>
        <v>0</v>
      </c>
      <c r="O171" s="54">
        <f t="shared" si="54"/>
        <v>1900</v>
      </c>
      <c r="P171" s="54">
        <f t="shared" si="54"/>
        <v>355787.84</v>
      </c>
      <c r="Q171" s="54">
        <f t="shared" si="54"/>
        <v>9486.81</v>
      </c>
      <c r="R171" s="54">
        <f t="shared" si="54"/>
        <v>261853.25</v>
      </c>
      <c r="S171" s="54">
        <f t="shared" si="54"/>
        <v>350000</v>
      </c>
      <c r="T171" s="54"/>
      <c r="U171" s="54">
        <f>ROUND(SUM(H171:T171),5)</f>
        <v>989264.9</v>
      </c>
      <c r="V171" s="54">
        <f>ROUND(V156+V162+V165+V170,5)</f>
        <v>351500</v>
      </c>
      <c r="W171" s="54">
        <f>ROUND(W156+W162+W165+W170,5)</f>
        <v>1802500</v>
      </c>
      <c r="AB171" s="86"/>
      <c r="AC171" s="86"/>
      <c r="AD171" s="86"/>
      <c r="AE171" s="86"/>
      <c r="AF171" s="86"/>
      <c r="AG171" s="86"/>
      <c r="AH171" s="87"/>
      <c r="AI171" s="87"/>
      <c r="AJ171" s="87"/>
      <c r="AK171" s="87"/>
      <c r="AL171" s="99">
        <f t="shared" ref="AL171:AW171" si="55">ROUND(AL156+AL162+AL165+AL170,5)</f>
        <v>0</v>
      </c>
      <c r="AM171" s="99">
        <f t="shared" si="55"/>
        <v>1945</v>
      </c>
      <c r="AN171" s="99">
        <f t="shared" si="55"/>
        <v>5379.38</v>
      </c>
      <c r="AO171" s="99">
        <f t="shared" si="55"/>
        <v>0</v>
      </c>
      <c r="AP171" s="99">
        <f t="shared" si="55"/>
        <v>0</v>
      </c>
      <c r="AQ171" s="99">
        <f t="shared" si="55"/>
        <v>0</v>
      </c>
      <c r="AR171" s="99">
        <f t="shared" si="55"/>
        <v>0</v>
      </c>
      <c r="AS171" s="99">
        <f t="shared" si="55"/>
        <v>2082.06</v>
      </c>
      <c r="AT171" s="99">
        <f t="shared" si="55"/>
        <v>9137.67</v>
      </c>
      <c r="AU171" s="99">
        <f t="shared" si="55"/>
        <v>0</v>
      </c>
      <c r="AV171" s="99">
        <f t="shared" si="55"/>
        <v>0</v>
      </c>
      <c r="AW171" s="99">
        <f t="shared" si="55"/>
        <v>0</v>
      </c>
      <c r="AX171" s="99"/>
      <c r="AY171" s="100">
        <f>ROUND(SUM(AH171:AX171),5)</f>
        <v>18544.11</v>
      </c>
      <c r="AZ171" s="100">
        <f>ROUND(AZ156+AZ162+AZ165+AZ170,5)</f>
        <v>366500</v>
      </c>
      <c r="BA171" s="100">
        <f>ROUND(BA156+BA162+BA165+BA170,5)</f>
        <v>351500</v>
      </c>
      <c r="BB171" s="101"/>
    </row>
    <row r="172" spans="1:56" s="56" customFormat="1" ht="22.2" thickBot="1" x14ac:dyDescent="0.35">
      <c r="A172" s="50"/>
      <c r="B172" s="50"/>
      <c r="C172" s="50"/>
      <c r="D172" s="50"/>
      <c r="E172" s="50" t="s">
        <v>203</v>
      </c>
      <c r="F172" s="50"/>
      <c r="G172" s="50"/>
      <c r="H172" s="54"/>
      <c r="I172" s="54"/>
      <c r="J172" s="54"/>
      <c r="K172" s="54"/>
      <c r="L172" s="54"/>
      <c r="M172" s="54"/>
      <c r="N172" s="54"/>
      <c r="O172" s="54"/>
      <c r="P172" s="54"/>
      <c r="Q172" s="54"/>
      <c r="R172" s="54"/>
      <c r="S172" s="54"/>
      <c r="T172" s="54"/>
      <c r="U172" s="54">
        <v>0</v>
      </c>
      <c r="V172" s="54">
        <v>226000</v>
      </c>
      <c r="W172" s="54">
        <f>W24+W20</f>
        <v>145100</v>
      </c>
      <c r="X172" s="68" t="s">
        <v>209</v>
      </c>
      <c r="Y172"/>
      <c r="Z172"/>
      <c r="AA172"/>
      <c r="AB172" s="86"/>
      <c r="AC172" s="86"/>
      <c r="AD172" s="86"/>
      <c r="AE172" s="86"/>
      <c r="AF172" s="86"/>
      <c r="AG172" s="86"/>
      <c r="AH172" s="87"/>
      <c r="AI172" s="87"/>
      <c r="AJ172" s="87"/>
      <c r="AK172" s="87"/>
      <c r="AL172" s="99"/>
      <c r="AM172" s="99"/>
      <c r="AN172" s="99"/>
      <c r="AO172" s="99"/>
      <c r="AP172" s="99"/>
      <c r="AQ172" s="99"/>
      <c r="AR172" s="99"/>
      <c r="AS172" s="99"/>
      <c r="AT172" s="99"/>
      <c r="AU172" s="99"/>
      <c r="AV172" s="99"/>
      <c r="AW172" s="99"/>
      <c r="AX172" s="99"/>
      <c r="AY172" s="86"/>
      <c r="AZ172" s="86"/>
      <c r="BA172" s="86"/>
      <c r="BB172" s="86"/>
      <c r="BC172"/>
      <c r="BD172"/>
    </row>
    <row r="173" spans="1:56" s="56" customFormat="1" ht="15" thickBot="1" x14ac:dyDescent="0.35">
      <c r="A173" s="50"/>
      <c r="B173" s="50"/>
      <c r="C173" s="50"/>
      <c r="D173" s="50"/>
      <c r="E173" s="50" t="s">
        <v>299</v>
      </c>
      <c r="F173" s="50"/>
      <c r="G173" s="50"/>
      <c r="H173" s="54"/>
      <c r="I173" s="54"/>
      <c r="J173" s="54"/>
      <c r="K173" s="54"/>
      <c r="L173" s="54"/>
      <c r="M173" s="54"/>
      <c r="N173" s="54"/>
      <c r="O173" s="54"/>
      <c r="P173" s="54"/>
      <c r="Q173" s="54"/>
      <c r="R173" s="54"/>
      <c r="S173" s="54"/>
      <c r="T173" s="54"/>
      <c r="U173" s="54">
        <v>0</v>
      </c>
      <c r="V173" s="54">
        <v>0</v>
      </c>
      <c r="W173" s="54">
        <v>-1802500</v>
      </c>
      <c r="X173" s="68" t="s">
        <v>300</v>
      </c>
      <c r="Y173"/>
      <c r="Z173"/>
      <c r="AA173"/>
      <c r="AB173" s="86"/>
      <c r="AC173" s="86"/>
      <c r="AD173" s="86"/>
      <c r="AE173" s="86"/>
      <c r="AF173" s="86"/>
      <c r="AG173" s="86"/>
      <c r="AH173" s="87"/>
      <c r="AI173" s="87"/>
      <c r="AJ173" s="87"/>
      <c r="AK173" s="87"/>
      <c r="AL173" s="99"/>
      <c r="AM173" s="99"/>
      <c r="AN173" s="99"/>
      <c r="AO173" s="99"/>
      <c r="AP173" s="99"/>
      <c r="AQ173" s="99"/>
      <c r="AR173" s="99"/>
      <c r="AS173" s="99"/>
      <c r="AT173" s="99"/>
      <c r="AU173" s="99"/>
      <c r="AV173" s="99"/>
      <c r="AW173" s="99"/>
      <c r="AX173" s="99"/>
      <c r="AY173" s="86"/>
      <c r="AZ173" s="86"/>
      <c r="BA173" s="86"/>
      <c r="BB173" s="86"/>
      <c r="BC173"/>
      <c r="BD173"/>
    </row>
    <row r="174" spans="1:56" ht="22.2" thickBot="1" x14ac:dyDescent="0.35">
      <c r="A174" s="50"/>
      <c r="B174" s="50"/>
      <c r="C174" s="50"/>
      <c r="D174" s="50"/>
      <c r="E174" s="50" t="s">
        <v>204</v>
      </c>
      <c r="F174" s="50"/>
      <c r="G174" s="50"/>
      <c r="H174" s="54"/>
      <c r="I174" s="54"/>
      <c r="J174" s="54"/>
      <c r="K174" s="54"/>
      <c r="L174" s="54"/>
      <c r="M174" s="54"/>
      <c r="N174" s="54"/>
      <c r="O174" s="54"/>
      <c r="P174" s="54"/>
      <c r="Q174" s="54"/>
      <c r="R174" s="54"/>
      <c r="S174" s="54"/>
      <c r="T174" s="54"/>
      <c r="U174" s="54">
        <v>0</v>
      </c>
      <c r="V174" s="54">
        <v>245659</v>
      </c>
      <c r="W174" s="116">
        <f>313950+7500</f>
        <v>321450</v>
      </c>
      <c r="X174" s="68" t="s">
        <v>301</v>
      </c>
      <c r="Y174" s="56"/>
      <c r="Z174" s="56"/>
      <c r="AB174" s="86"/>
      <c r="AC174" s="86"/>
      <c r="AD174" s="86"/>
      <c r="AE174" s="86"/>
      <c r="AF174" s="86"/>
      <c r="AG174" s="86"/>
      <c r="AH174" s="87"/>
      <c r="AI174" s="87"/>
      <c r="AJ174" s="87"/>
      <c r="AK174" s="87"/>
      <c r="AL174" s="99"/>
      <c r="AM174" s="99"/>
      <c r="AN174" s="99"/>
      <c r="AO174" s="99"/>
      <c r="AP174" s="99"/>
      <c r="AQ174" s="99"/>
      <c r="AR174" s="99"/>
      <c r="AS174" s="99"/>
      <c r="AT174" s="99"/>
      <c r="AU174" s="99"/>
      <c r="AV174" s="99"/>
      <c r="AW174" s="99"/>
      <c r="AX174" s="99"/>
      <c r="AY174" s="86"/>
      <c r="AZ174" s="86"/>
      <c r="BA174" s="86"/>
      <c r="BB174" s="86"/>
    </row>
    <row r="175" spans="1:56" ht="15" thickBot="1" x14ac:dyDescent="0.35">
      <c r="A175" s="50"/>
      <c r="B175" s="50"/>
      <c r="C175" s="50"/>
      <c r="D175" s="50" t="s">
        <v>5</v>
      </c>
      <c r="E175" s="50"/>
      <c r="F175" s="50"/>
      <c r="G175" s="50"/>
      <c r="H175" s="53">
        <f t="shared" ref="H175:S175" si="56">ROUND(H40+H71+H149+H155+H171,5)</f>
        <v>40629.21</v>
      </c>
      <c r="I175" s="53">
        <f t="shared" si="56"/>
        <v>42211.89</v>
      </c>
      <c r="J175" s="53">
        <f t="shared" si="56"/>
        <v>35255.99</v>
      </c>
      <c r="K175" s="53">
        <f t="shared" si="56"/>
        <v>58915.23</v>
      </c>
      <c r="L175" s="53">
        <f t="shared" si="56"/>
        <v>38223.08</v>
      </c>
      <c r="M175" s="53">
        <f t="shared" si="56"/>
        <v>55599.54</v>
      </c>
      <c r="N175" s="53">
        <f t="shared" si="56"/>
        <v>57824.7</v>
      </c>
      <c r="O175" s="53">
        <f t="shared" si="56"/>
        <v>44586.239999999998</v>
      </c>
      <c r="P175" s="53">
        <f t="shared" si="56"/>
        <v>393348.6</v>
      </c>
      <c r="Q175" s="53">
        <f t="shared" si="56"/>
        <v>58195.67</v>
      </c>
      <c r="R175" s="53">
        <f t="shared" si="56"/>
        <v>299439.25</v>
      </c>
      <c r="S175" s="53">
        <f t="shared" si="56"/>
        <v>455414.61</v>
      </c>
      <c r="T175" s="53"/>
      <c r="U175" s="53">
        <f>ROUND(SUM(H175:T175),5)</f>
        <v>1579644.01</v>
      </c>
      <c r="V175" s="53">
        <f>ROUND(V40+V71+V149+V155+V171,5)+V172+V174</f>
        <v>1552500</v>
      </c>
      <c r="W175" s="53">
        <f>ROUND(W40+W71+W149+W155+W171,5)+W172+W174+W173</f>
        <v>1198500</v>
      </c>
      <c r="AB175" s="86"/>
      <c r="AC175" s="86"/>
      <c r="AD175" s="86"/>
      <c r="AE175" s="86"/>
      <c r="AF175" s="86"/>
      <c r="AG175" s="86"/>
      <c r="AH175" s="87"/>
      <c r="AI175" s="87"/>
      <c r="AJ175" s="87"/>
      <c r="AK175" s="87"/>
      <c r="AL175" s="99"/>
      <c r="AM175" s="99"/>
      <c r="AN175" s="99"/>
      <c r="AO175" s="99"/>
      <c r="AP175" s="99"/>
      <c r="AQ175" s="99"/>
      <c r="AR175" s="99"/>
      <c r="AS175" s="99"/>
      <c r="AT175" s="99"/>
      <c r="AU175" s="99"/>
      <c r="AV175" s="99"/>
      <c r="AW175" s="99"/>
      <c r="AX175" s="99"/>
      <c r="AY175" s="86"/>
      <c r="AZ175" s="86"/>
      <c r="BA175" s="86"/>
      <c r="BB175" s="86"/>
    </row>
    <row r="176" spans="1:56" x14ac:dyDescent="0.3">
      <c r="A176" s="50"/>
      <c r="B176" s="50" t="s">
        <v>6</v>
      </c>
      <c r="C176" s="50"/>
      <c r="D176" s="50"/>
      <c r="E176" s="50"/>
      <c r="F176" s="50"/>
      <c r="G176" s="50"/>
      <c r="H176" s="51">
        <f t="shared" ref="H176:S176" si="57">ROUND(H2+H39-H175,5)</f>
        <v>20645.93</v>
      </c>
      <c r="I176" s="51">
        <f t="shared" si="57"/>
        <v>-21134.85</v>
      </c>
      <c r="J176" s="51">
        <f t="shared" si="57"/>
        <v>51003.360000000001</v>
      </c>
      <c r="K176" s="51">
        <f t="shared" si="57"/>
        <v>26647.89</v>
      </c>
      <c r="L176" s="51">
        <f t="shared" si="57"/>
        <v>-11791.18</v>
      </c>
      <c r="M176" s="51">
        <f t="shared" si="57"/>
        <v>242069.91</v>
      </c>
      <c r="N176" s="51">
        <f t="shared" si="57"/>
        <v>160957.59</v>
      </c>
      <c r="O176" s="51">
        <f t="shared" si="57"/>
        <v>15114.64</v>
      </c>
      <c r="P176" s="51">
        <f t="shared" si="57"/>
        <v>-318923.76</v>
      </c>
      <c r="Q176" s="51">
        <f t="shared" si="57"/>
        <v>46415.09</v>
      </c>
      <c r="R176" s="51">
        <f t="shared" si="57"/>
        <v>-23874.639999999999</v>
      </c>
      <c r="S176" s="51">
        <f t="shared" si="57"/>
        <v>-411762.25</v>
      </c>
      <c r="T176" s="51"/>
      <c r="U176" s="51">
        <f>ROUND(SUM(H176:T176),5)</f>
        <v>-224632.27</v>
      </c>
      <c r="V176" s="51">
        <f>ROUND(V2+V39-V175,5)</f>
        <v>-351500</v>
      </c>
      <c r="W176" s="51">
        <f>ROUND(W2+W39-W175,5)</f>
        <v>0</v>
      </c>
      <c r="AB176" s="86"/>
      <c r="AC176" s="86"/>
      <c r="AD176" s="86"/>
      <c r="AE176" s="86" t="s">
        <v>203</v>
      </c>
      <c r="AF176" s="86"/>
      <c r="AG176" s="86"/>
      <c r="AH176" s="87"/>
      <c r="AI176" s="87"/>
      <c r="AJ176" s="87"/>
      <c r="AK176" s="87"/>
      <c r="AL176" s="99"/>
      <c r="AM176" s="99"/>
      <c r="AN176" s="99"/>
      <c r="AO176" s="99"/>
      <c r="AP176" s="99"/>
      <c r="AQ176" s="99"/>
      <c r="AR176" s="99"/>
      <c r="AS176" s="99"/>
      <c r="AT176" s="99"/>
      <c r="AU176" s="99"/>
      <c r="AV176" s="99"/>
      <c r="AW176" s="99"/>
      <c r="AX176" s="99"/>
      <c r="AY176" s="86"/>
      <c r="AZ176" s="86"/>
      <c r="BA176" s="86"/>
      <c r="BB176" s="86"/>
    </row>
    <row r="177" spans="1:54" ht="17.399999999999999" customHeight="1" thickBot="1" x14ac:dyDescent="0.35">
      <c r="A177" s="50"/>
      <c r="B177" s="50" t="s">
        <v>7</v>
      </c>
      <c r="C177" s="50"/>
      <c r="D177" s="50"/>
      <c r="E177" s="50"/>
      <c r="F177" s="50"/>
      <c r="G177" s="50"/>
      <c r="H177" s="51"/>
      <c r="I177" s="51"/>
      <c r="J177" s="51"/>
      <c r="K177" s="51"/>
      <c r="L177" s="51"/>
      <c r="M177" s="51"/>
      <c r="N177" s="51"/>
      <c r="O177" s="51"/>
      <c r="P177" s="51"/>
      <c r="Q177" s="51"/>
      <c r="R177" s="51"/>
      <c r="S177" s="51"/>
      <c r="T177" s="51"/>
      <c r="U177" s="51"/>
      <c r="V177" s="51"/>
      <c r="W177" s="51"/>
      <c r="AB177" s="86"/>
      <c r="AC177" s="86"/>
      <c r="AD177" s="86"/>
      <c r="AE177" s="86" t="s">
        <v>204</v>
      </c>
      <c r="AF177" s="86"/>
      <c r="AG177" s="86"/>
      <c r="AH177" s="87"/>
      <c r="AI177" s="87"/>
      <c r="AJ177" s="87"/>
      <c r="AK177" s="87"/>
      <c r="AL177" s="102">
        <v>0</v>
      </c>
      <c r="AM177" s="102">
        <v>0</v>
      </c>
      <c r="AN177" s="102">
        <v>0</v>
      </c>
      <c r="AO177" s="102">
        <v>0</v>
      </c>
      <c r="AP177" s="102">
        <v>0</v>
      </c>
      <c r="AQ177" s="102">
        <v>0</v>
      </c>
      <c r="AR177" s="102">
        <v>0</v>
      </c>
      <c r="AS177" s="102">
        <v>0</v>
      </c>
      <c r="AT177" s="102">
        <v>0</v>
      </c>
      <c r="AU177" s="102">
        <v>0</v>
      </c>
      <c r="AV177" s="102">
        <v>0</v>
      </c>
      <c r="AW177" s="102">
        <v>0</v>
      </c>
      <c r="AX177" s="102"/>
      <c r="AY177" s="103">
        <v>0</v>
      </c>
      <c r="AZ177" s="103">
        <v>177000</v>
      </c>
      <c r="BA177" s="103">
        <f>BA17+BA18+BA24+BA20</f>
        <v>226000</v>
      </c>
      <c r="BB177" s="104" t="s">
        <v>209</v>
      </c>
    </row>
    <row r="178" spans="1:54" ht="25.8" customHeight="1" thickBot="1" x14ac:dyDescent="0.35">
      <c r="A178" s="50"/>
      <c r="B178" s="50"/>
      <c r="C178" s="50" t="s">
        <v>8</v>
      </c>
      <c r="D178" s="50"/>
      <c r="E178" s="50"/>
      <c r="F178" s="50"/>
      <c r="G178" s="50"/>
      <c r="H178" s="51"/>
      <c r="I178" s="51"/>
      <c r="J178" s="51"/>
      <c r="K178" s="51"/>
      <c r="L178" s="51"/>
      <c r="M178" s="51"/>
      <c r="N178" s="51"/>
      <c r="O178" s="51"/>
      <c r="P178" s="51"/>
      <c r="Q178" s="51"/>
      <c r="R178" s="51"/>
      <c r="S178" s="51"/>
      <c r="T178" s="51"/>
      <c r="U178" s="51"/>
      <c r="V178" s="51"/>
      <c r="W178" s="51"/>
      <c r="AB178" s="86"/>
      <c r="AC178" s="86"/>
      <c r="AD178" s="86" t="s">
        <v>5</v>
      </c>
      <c r="AE178" s="86"/>
      <c r="AF178" s="86"/>
      <c r="AG178" s="86"/>
      <c r="AH178" s="87"/>
      <c r="AI178" s="87"/>
      <c r="AJ178" s="87"/>
      <c r="AK178" s="87"/>
      <c r="AL178" s="87">
        <v>0</v>
      </c>
      <c r="AM178" s="87">
        <v>0</v>
      </c>
      <c r="AN178" s="87">
        <v>0</v>
      </c>
      <c r="AO178" s="87">
        <v>0</v>
      </c>
      <c r="AP178" s="87">
        <v>0</v>
      </c>
      <c r="AQ178" s="87">
        <v>0</v>
      </c>
      <c r="AR178" s="87">
        <v>0</v>
      </c>
      <c r="AS178" s="87">
        <v>0</v>
      </c>
      <c r="AT178" s="87">
        <v>0</v>
      </c>
      <c r="AU178" s="87">
        <v>0</v>
      </c>
      <c r="AV178" s="87">
        <v>0</v>
      </c>
      <c r="AW178" s="87">
        <v>0</v>
      </c>
      <c r="AX178" s="87"/>
      <c r="AY178" s="88">
        <v>0</v>
      </c>
      <c r="AZ178" s="88">
        <v>236020</v>
      </c>
      <c r="BA178" s="88">
        <v>245659</v>
      </c>
      <c r="BB178" s="89" t="s">
        <v>259</v>
      </c>
    </row>
    <row r="179" spans="1:54" ht="14.4" customHeight="1" thickBot="1" x14ac:dyDescent="0.35">
      <c r="A179" s="50"/>
      <c r="B179" s="50"/>
      <c r="C179" s="50"/>
      <c r="D179" s="50" t="s">
        <v>196</v>
      </c>
      <c r="E179" s="50"/>
      <c r="F179" s="50"/>
      <c r="G179" s="50"/>
      <c r="H179" s="51">
        <v>488.69</v>
      </c>
      <c r="I179" s="51">
        <v>0</v>
      </c>
      <c r="J179" s="51">
        <v>0</v>
      </c>
      <c r="K179" s="51">
        <v>0</v>
      </c>
      <c r="L179" s="51">
        <v>0</v>
      </c>
      <c r="M179" s="51">
        <v>0</v>
      </c>
      <c r="N179" s="51">
        <v>1206.2</v>
      </c>
      <c r="O179" s="51">
        <v>0</v>
      </c>
      <c r="P179" s="51">
        <v>0</v>
      </c>
      <c r="Q179" s="51">
        <v>0</v>
      </c>
      <c r="R179" s="51">
        <v>0</v>
      </c>
      <c r="S179" s="51">
        <v>0</v>
      </c>
      <c r="T179" s="51"/>
      <c r="U179" s="51">
        <f t="shared" ref="U179:U184" si="58">ROUND(SUM(H179:T179),5)</f>
        <v>1694.89</v>
      </c>
      <c r="V179" s="51">
        <v>0</v>
      </c>
      <c r="W179" s="51">
        <v>0</v>
      </c>
      <c r="X179" s="68" t="s">
        <v>206</v>
      </c>
      <c r="AB179" s="86" t="s">
        <v>6</v>
      </c>
      <c r="AC179" s="86"/>
      <c r="AD179" s="86"/>
      <c r="AE179" s="86"/>
      <c r="AF179" s="86"/>
      <c r="AG179" s="86"/>
      <c r="AH179" s="93"/>
      <c r="AI179" s="93"/>
      <c r="AJ179" s="93"/>
      <c r="AK179" s="93"/>
      <c r="AL179" s="93">
        <f t="shared" ref="AL179:BA179" si="59">ROUND(AL40+AL71+AL149+AL155+AL171,5)+AL177+AL178</f>
        <v>27999</v>
      </c>
      <c r="AM179" s="93">
        <f t="shared" si="59"/>
        <v>43641.53</v>
      </c>
      <c r="AN179" s="93">
        <f t="shared" si="59"/>
        <v>40907.26</v>
      </c>
      <c r="AO179" s="93">
        <f t="shared" si="59"/>
        <v>48192.54</v>
      </c>
      <c r="AP179" s="93">
        <f t="shared" si="59"/>
        <v>32728.26</v>
      </c>
      <c r="AQ179" s="93">
        <f t="shared" si="59"/>
        <v>36866.379999999997</v>
      </c>
      <c r="AR179" s="93">
        <f t="shared" si="59"/>
        <v>44453.31</v>
      </c>
      <c r="AS179" s="93">
        <f t="shared" si="59"/>
        <v>32567.72</v>
      </c>
      <c r="AT179" s="93">
        <f t="shared" si="59"/>
        <v>48013.1</v>
      </c>
      <c r="AU179" s="93">
        <f t="shared" si="59"/>
        <v>52967.27</v>
      </c>
      <c r="AV179" s="93">
        <f t="shared" si="59"/>
        <v>50116.65</v>
      </c>
      <c r="AW179" s="93">
        <f t="shared" si="59"/>
        <v>98258.22</v>
      </c>
      <c r="AX179" s="93">
        <f t="shared" si="59"/>
        <v>0</v>
      </c>
      <c r="AY179" s="94">
        <f t="shared" si="59"/>
        <v>556711.24</v>
      </c>
      <c r="AZ179" s="94">
        <f t="shared" si="59"/>
        <v>1445300</v>
      </c>
      <c r="BA179" s="94">
        <f t="shared" si="59"/>
        <v>1552500</v>
      </c>
      <c r="BB179" s="95"/>
    </row>
    <row r="180" spans="1:54" ht="15.6" customHeight="1" x14ac:dyDescent="0.3">
      <c r="A180" s="50"/>
      <c r="B180" s="50"/>
      <c r="C180" s="50"/>
      <c r="D180" s="50" t="s">
        <v>197</v>
      </c>
      <c r="E180" s="50"/>
      <c r="F180" s="50"/>
      <c r="G180" s="50"/>
      <c r="H180" s="51">
        <v>3838.17</v>
      </c>
      <c r="I180" s="51">
        <v>-7360.71</v>
      </c>
      <c r="J180" s="51">
        <v>-12262.78</v>
      </c>
      <c r="K180" s="51">
        <v>-15312.76</v>
      </c>
      <c r="L180" s="51">
        <v>-7089.43</v>
      </c>
      <c r="M180" s="51">
        <v>-12210.57</v>
      </c>
      <c r="N180" s="51">
        <v>-30666.5</v>
      </c>
      <c r="O180" s="51">
        <v>-22606.21</v>
      </c>
      <c r="P180" s="51">
        <v>-54477.599999999999</v>
      </c>
      <c r="Q180" s="51">
        <v>-43909.78</v>
      </c>
      <c r="R180" s="51">
        <v>9284.9</v>
      </c>
      <c r="S180" s="51">
        <v>-10762.94</v>
      </c>
      <c r="T180" s="51"/>
      <c r="U180" s="51">
        <f t="shared" si="58"/>
        <v>-203536.21</v>
      </c>
      <c r="V180" s="51">
        <v>0</v>
      </c>
      <c r="W180" s="51">
        <v>0</v>
      </c>
      <c r="X180" s="68" t="s">
        <v>206</v>
      </c>
      <c r="AB180" s="86" t="s">
        <v>7</v>
      </c>
      <c r="AC180" s="86"/>
      <c r="AD180" s="86"/>
      <c r="AE180" s="86"/>
      <c r="AF180" s="86"/>
      <c r="AG180" s="86"/>
      <c r="AH180" s="87"/>
      <c r="AI180" s="87"/>
      <c r="AJ180" s="87"/>
      <c r="AK180" s="87"/>
      <c r="AL180" s="87">
        <f t="shared" ref="AL180:AW180" si="60">ROUND(AL2+AL39-AL179,5)</f>
        <v>-8841.0400000000009</v>
      </c>
      <c r="AM180" s="87">
        <f t="shared" si="60"/>
        <v>-10879.27</v>
      </c>
      <c r="AN180" s="87">
        <f t="shared" si="60"/>
        <v>-2325.44</v>
      </c>
      <c r="AO180" s="87">
        <f t="shared" si="60"/>
        <v>43497.59</v>
      </c>
      <c r="AP180" s="87">
        <f t="shared" si="60"/>
        <v>-13444.18</v>
      </c>
      <c r="AQ180" s="87">
        <f t="shared" si="60"/>
        <v>210923.04</v>
      </c>
      <c r="AR180" s="87">
        <f t="shared" si="60"/>
        <v>211891.47</v>
      </c>
      <c r="AS180" s="87">
        <f t="shared" si="60"/>
        <v>26678.65</v>
      </c>
      <c r="AT180" s="87">
        <f t="shared" si="60"/>
        <v>17447.71</v>
      </c>
      <c r="AU180" s="87">
        <f t="shared" si="60"/>
        <v>44297.38</v>
      </c>
      <c r="AV180" s="87">
        <f t="shared" si="60"/>
        <v>172821.62</v>
      </c>
      <c r="AW180" s="87">
        <f t="shared" si="60"/>
        <v>16430.13</v>
      </c>
      <c r="AX180" s="87"/>
      <c r="AY180" s="88">
        <f>ROUND(SUM(AH180:AX180),5)</f>
        <v>708497.66</v>
      </c>
      <c r="AZ180" s="88">
        <f>ROUND(AZ2+AZ39-AZ179,5)</f>
        <v>-366500</v>
      </c>
      <c r="BA180" s="88">
        <f>ROUND(BA2+BA39-BA179,5)</f>
        <v>-351500</v>
      </c>
      <c r="BB180" s="89"/>
    </row>
    <row r="181" spans="1:54" ht="13.2" customHeight="1" thickBot="1" x14ac:dyDescent="0.35">
      <c r="A181" s="50"/>
      <c r="B181" s="50"/>
      <c r="C181" s="50"/>
      <c r="D181" s="50" t="s">
        <v>280</v>
      </c>
      <c r="E181" s="50"/>
      <c r="F181" s="50"/>
      <c r="G181" s="50"/>
      <c r="H181" s="51">
        <v>0</v>
      </c>
      <c r="I181" s="51">
        <v>0</v>
      </c>
      <c r="J181" s="51">
        <v>0</v>
      </c>
      <c r="K181" s="51">
        <v>0</v>
      </c>
      <c r="L181" s="51">
        <v>0</v>
      </c>
      <c r="M181" s="51">
        <v>0</v>
      </c>
      <c r="N181" s="51">
        <v>0</v>
      </c>
      <c r="O181" s="51">
        <v>0</v>
      </c>
      <c r="P181" s="51">
        <v>0</v>
      </c>
      <c r="Q181" s="51">
        <v>0</v>
      </c>
      <c r="R181" s="51">
        <v>0</v>
      </c>
      <c r="S181" s="51">
        <v>0</v>
      </c>
      <c r="T181" s="51"/>
      <c r="U181" s="51">
        <f t="shared" si="58"/>
        <v>0</v>
      </c>
      <c r="V181" s="51">
        <v>0</v>
      </c>
      <c r="W181" s="51">
        <v>0</v>
      </c>
      <c r="X181" s="68" t="s">
        <v>206</v>
      </c>
      <c r="AB181" s="86"/>
      <c r="AC181" s="86" t="s">
        <v>8</v>
      </c>
      <c r="AD181" s="86"/>
      <c r="AE181" s="86"/>
      <c r="AF181" s="86"/>
      <c r="AG181" s="86"/>
      <c r="AH181" s="87"/>
      <c r="AI181" s="87"/>
      <c r="AJ181" s="87"/>
      <c r="AK181" s="87"/>
      <c r="AL181" s="87"/>
      <c r="AM181" s="87"/>
      <c r="AN181" s="87"/>
      <c r="AO181" s="87"/>
      <c r="AP181" s="87"/>
      <c r="AQ181" s="87"/>
      <c r="AR181" s="87"/>
      <c r="AS181" s="87"/>
      <c r="AT181" s="87"/>
      <c r="AU181" s="87"/>
      <c r="AV181" s="87"/>
      <c r="AW181" s="87"/>
      <c r="AX181" s="87"/>
      <c r="AY181" s="88"/>
      <c r="AZ181" s="88"/>
      <c r="BA181" s="88"/>
      <c r="BB181" s="89"/>
    </row>
    <row r="182" spans="1:54" ht="15" thickBot="1" x14ac:dyDescent="0.35">
      <c r="A182" s="50"/>
      <c r="B182" s="50"/>
      <c r="C182" s="50" t="s">
        <v>9</v>
      </c>
      <c r="D182" s="50"/>
      <c r="E182" s="50"/>
      <c r="F182" s="50"/>
      <c r="G182" s="50"/>
      <c r="H182" s="54">
        <f t="shared" ref="H182:P182" si="61">ROUND(SUM(H178:H181),5)</f>
        <v>4326.8599999999997</v>
      </c>
      <c r="I182" s="54">
        <f t="shared" si="61"/>
        <v>-7360.71</v>
      </c>
      <c r="J182" s="54">
        <f t="shared" si="61"/>
        <v>-12262.78</v>
      </c>
      <c r="K182" s="54">
        <f t="shared" si="61"/>
        <v>-15312.76</v>
      </c>
      <c r="L182" s="54">
        <f t="shared" si="61"/>
        <v>-7089.43</v>
      </c>
      <c r="M182" s="54">
        <f t="shared" si="61"/>
        <v>-12210.57</v>
      </c>
      <c r="N182" s="54">
        <f t="shared" si="61"/>
        <v>-29460.3</v>
      </c>
      <c r="O182" s="54">
        <f t="shared" si="61"/>
        <v>-22606.21</v>
      </c>
      <c r="P182" s="54">
        <f t="shared" si="61"/>
        <v>-54477.599999999999</v>
      </c>
      <c r="Q182" s="54">
        <f>ROUND(SUM(Q178:Q181),5)</f>
        <v>-43909.78</v>
      </c>
      <c r="R182" s="54">
        <f>ROUND(SUM(R178:R181),5)</f>
        <v>9284.9</v>
      </c>
      <c r="S182" s="54">
        <f>ROUND(SUM(S178:S181),5)</f>
        <v>-10762.94</v>
      </c>
      <c r="T182" s="54"/>
      <c r="U182" s="54">
        <f t="shared" si="58"/>
        <v>-201841.32</v>
      </c>
      <c r="V182" s="54">
        <f>ROUND(SUM(V178:V181),5)</f>
        <v>0</v>
      </c>
      <c r="W182" s="54">
        <f>ROUND(SUM(W178:W181),5)</f>
        <v>0</v>
      </c>
      <c r="AB182" s="86"/>
      <c r="AC182" s="86"/>
      <c r="AD182" s="86" t="s">
        <v>196</v>
      </c>
      <c r="AE182" s="86"/>
      <c r="AF182" s="86"/>
      <c r="AG182" s="86"/>
      <c r="AH182" s="87"/>
      <c r="AI182" s="87"/>
      <c r="AJ182" s="87"/>
      <c r="AK182" s="87"/>
      <c r="AL182" s="87"/>
      <c r="AM182" s="87"/>
      <c r="AN182" s="87"/>
      <c r="AO182" s="87"/>
      <c r="AP182" s="87"/>
      <c r="AQ182" s="87"/>
      <c r="AR182" s="87"/>
      <c r="AS182" s="87"/>
      <c r="AT182" s="87"/>
      <c r="AU182" s="87"/>
      <c r="AV182" s="87"/>
      <c r="AW182" s="87"/>
      <c r="AX182" s="87"/>
      <c r="AY182" s="88"/>
      <c r="AZ182" s="88"/>
      <c r="BA182" s="88"/>
      <c r="BB182" s="89"/>
    </row>
    <row r="183" spans="1:54" ht="22.2" thickBot="1" x14ac:dyDescent="0.35">
      <c r="A183" s="50"/>
      <c r="B183" s="50" t="s">
        <v>10</v>
      </c>
      <c r="C183" s="50"/>
      <c r="D183" s="50"/>
      <c r="E183" s="50"/>
      <c r="F183" s="50"/>
      <c r="G183" s="50"/>
      <c r="H183" s="54">
        <f t="shared" ref="H183:P183" si="62">ROUND(H177+H182,5)</f>
        <v>4326.8599999999997</v>
      </c>
      <c r="I183" s="54">
        <f t="shared" si="62"/>
        <v>-7360.71</v>
      </c>
      <c r="J183" s="54">
        <f t="shared" si="62"/>
        <v>-12262.78</v>
      </c>
      <c r="K183" s="54">
        <f t="shared" si="62"/>
        <v>-15312.76</v>
      </c>
      <c r="L183" s="54">
        <f t="shared" si="62"/>
        <v>-7089.43</v>
      </c>
      <c r="M183" s="54">
        <f t="shared" si="62"/>
        <v>-12210.57</v>
      </c>
      <c r="N183" s="54">
        <f t="shared" si="62"/>
        <v>-29460.3</v>
      </c>
      <c r="O183" s="54">
        <f t="shared" si="62"/>
        <v>-22606.21</v>
      </c>
      <c r="P183" s="54">
        <f t="shared" si="62"/>
        <v>-54477.599999999999</v>
      </c>
      <c r="Q183" s="54">
        <f>ROUND(Q177+Q182,5)</f>
        <v>-43909.78</v>
      </c>
      <c r="R183" s="54">
        <f>ROUND(R177+R182,5)</f>
        <v>9284.9</v>
      </c>
      <c r="S183" s="54">
        <f>ROUND(S177+S182,5)</f>
        <v>-10762.94</v>
      </c>
      <c r="T183" s="54"/>
      <c r="U183" s="54">
        <f t="shared" si="58"/>
        <v>-201841.32</v>
      </c>
      <c r="V183" s="54">
        <f>ROUND(V177+V182,5)</f>
        <v>0</v>
      </c>
      <c r="W183" s="54">
        <f>ROUND(W177+W182,5)</f>
        <v>0</v>
      </c>
      <c r="AB183" s="86"/>
      <c r="AC183" s="86"/>
      <c r="AD183" s="86" t="s">
        <v>197</v>
      </c>
      <c r="AE183" s="86"/>
      <c r="AF183" s="86"/>
      <c r="AG183" s="86"/>
      <c r="AH183" s="87"/>
      <c r="AI183" s="87"/>
      <c r="AJ183" s="87"/>
      <c r="AK183" s="87"/>
      <c r="AL183" s="87">
        <v>0</v>
      </c>
      <c r="AM183" s="87">
        <v>0</v>
      </c>
      <c r="AN183" s="87">
        <v>0</v>
      </c>
      <c r="AO183" s="87">
        <v>0</v>
      </c>
      <c r="AP183" s="87">
        <v>0</v>
      </c>
      <c r="AQ183" s="87">
        <v>0</v>
      </c>
      <c r="AR183" s="87">
        <v>2768.64</v>
      </c>
      <c r="AS183" s="87">
        <v>0</v>
      </c>
      <c r="AT183" s="87">
        <v>0</v>
      </c>
      <c r="AU183" s="87">
        <v>0</v>
      </c>
      <c r="AV183" s="87">
        <v>0</v>
      </c>
      <c r="AW183" s="87">
        <v>0</v>
      </c>
      <c r="AX183" s="87"/>
      <c r="AY183" s="88">
        <f>ROUND(SUM(AH183:AX183),5)</f>
        <v>2768.64</v>
      </c>
      <c r="AZ183" s="88">
        <v>0</v>
      </c>
      <c r="BA183" s="88">
        <v>0</v>
      </c>
      <c r="BB183" s="89" t="s">
        <v>206</v>
      </c>
    </row>
    <row r="184" spans="1:54" ht="22.2" thickBot="1" x14ac:dyDescent="0.35">
      <c r="A184" s="50" t="s">
        <v>11</v>
      </c>
      <c r="B184" s="50"/>
      <c r="C184" s="50"/>
      <c r="D184" s="50"/>
      <c r="E184" s="50"/>
      <c r="F184" s="50"/>
      <c r="G184" s="50"/>
      <c r="H184" s="55">
        <f t="shared" ref="H184:P184" si="63">ROUND(H176+H183,5)</f>
        <v>24972.79</v>
      </c>
      <c r="I184" s="55">
        <f t="shared" si="63"/>
        <v>-28495.56</v>
      </c>
      <c r="J184" s="55">
        <f t="shared" si="63"/>
        <v>38740.58</v>
      </c>
      <c r="K184" s="55">
        <f t="shared" si="63"/>
        <v>11335.13</v>
      </c>
      <c r="L184" s="55">
        <f t="shared" si="63"/>
        <v>-18880.61</v>
      </c>
      <c r="M184" s="55">
        <f t="shared" si="63"/>
        <v>229859.34</v>
      </c>
      <c r="N184" s="55">
        <f t="shared" si="63"/>
        <v>131497.29</v>
      </c>
      <c r="O184" s="55">
        <f t="shared" si="63"/>
        <v>-7491.57</v>
      </c>
      <c r="P184" s="55">
        <f t="shared" si="63"/>
        <v>-373401.36</v>
      </c>
      <c r="Q184" s="55">
        <f>ROUND(Q176+Q183,5)</f>
        <v>2505.31</v>
      </c>
      <c r="R184" s="55">
        <f>ROUND(R176+R183,5)</f>
        <v>-14589.74</v>
      </c>
      <c r="S184" s="55">
        <f>ROUND(S176+S183,5)</f>
        <v>-422525.19</v>
      </c>
      <c r="T184" s="55"/>
      <c r="U184" s="55">
        <f t="shared" si="58"/>
        <v>-426473.59</v>
      </c>
      <c r="V184" s="55">
        <f>ROUND(V176+V183,5)</f>
        <v>-351500</v>
      </c>
      <c r="W184" s="55">
        <f>ROUND(W176+W183,5)</f>
        <v>0</v>
      </c>
      <c r="AB184" s="86"/>
      <c r="AC184" s="86" t="s">
        <v>9</v>
      </c>
      <c r="AD184" s="86"/>
      <c r="AE184" s="86"/>
      <c r="AF184" s="86"/>
      <c r="AG184" s="86"/>
      <c r="AH184" s="87"/>
      <c r="AI184" s="87"/>
      <c r="AJ184" s="87"/>
      <c r="AK184" s="87"/>
      <c r="AL184" s="87">
        <v>3379.65</v>
      </c>
      <c r="AM184" s="87">
        <v>-3012.35</v>
      </c>
      <c r="AN184" s="87">
        <v>-3352.29</v>
      </c>
      <c r="AO184" s="87">
        <v>-8759.74</v>
      </c>
      <c r="AP184" s="87">
        <v>2275.2600000000002</v>
      </c>
      <c r="AQ184" s="87">
        <v>-9141.42</v>
      </c>
      <c r="AR184" s="87">
        <v>-5290.7</v>
      </c>
      <c r="AS184" s="87">
        <v>-9875.18</v>
      </c>
      <c r="AT184" s="87">
        <v>-10281.08</v>
      </c>
      <c r="AU184" s="87">
        <v>-4192.53</v>
      </c>
      <c r="AV184" s="87">
        <v>11137.13</v>
      </c>
      <c r="AW184" s="87">
        <v>-416.52</v>
      </c>
      <c r="AX184" s="87"/>
      <c r="AY184" s="88">
        <f>ROUND(SUM(AH184:AX184),5)</f>
        <v>-37529.769999999997</v>
      </c>
      <c r="AZ184" s="88">
        <v>0</v>
      </c>
      <c r="BA184" s="88">
        <v>0</v>
      </c>
      <c r="BB184" s="89" t="s">
        <v>206</v>
      </c>
    </row>
    <row r="185" spans="1:54" ht="15.6" thickTop="1" thickBot="1" x14ac:dyDescent="0.35">
      <c r="AB185" s="86" t="s">
        <v>10</v>
      </c>
      <c r="AC185" s="86"/>
      <c r="AD185" s="86"/>
      <c r="AE185" s="86"/>
      <c r="AF185" s="86"/>
      <c r="AG185" s="86"/>
      <c r="AH185" s="96"/>
      <c r="AI185" s="96"/>
      <c r="AJ185" s="96"/>
      <c r="AK185" s="96"/>
      <c r="AL185" s="96">
        <f t="shared" ref="AL185:AW185" si="64">ROUND(SUM(AL182:AL184),5)</f>
        <v>3379.65</v>
      </c>
      <c r="AM185" s="96">
        <f t="shared" si="64"/>
        <v>-3012.35</v>
      </c>
      <c r="AN185" s="96">
        <f t="shared" si="64"/>
        <v>-3352.29</v>
      </c>
      <c r="AO185" s="96">
        <f t="shared" si="64"/>
        <v>-8759.74</v>
      </c>
      <c r="AP185" s="96">
        <f t="shared" si="64"/>
        <v>2275.2600000000002</v>
      </c>
      <c r="AQ185" s="96">
        <f t="shared" si="64"/>
        <v>-9141.42</v>
      </c>
      <c r="AR185" s="96">
        <f t="shared" si="64"/>
        <v>-2522.06</v>
      </c>
      <c r="AS185" s="96">
        <f t="shared" si="64"/>
        <v>-9875.18</v>
      </c>
      <c r="AT185" s="96">
        <f t="shared" si="64"/>
        <v>-10281.08</v>
      </c>
      <c r="AU185" s="96">
        <f t="shared" si="64"/>
        <v>-4192.53</v>
      </c>
      <c r="AV185" s="96">
        <f t="shared" si="64"/>
        <v>11137.13</v>
      </c>
      <c r="AW185" s="96">
        <f t="shared" si="64"/>
        <v>-416.52</v>
      </c>
      <c r="AX185" s="96"/>
      <c r="AY185" s="97">
        <f>ROUND(SUM(AH185:AX185),5)</f>
        <v>-34761.129999999997</v>
      </c>
      <c r="AZ185" s="97">
        <f>ROUND(SUM(AZ182:AZ184),5)</f>
        <v>0</v>
      </c>
      <c r="BA185" s="97">
        <f>ROUND(SUM(BA182:BA184),5)</f>
        <v>0</v>
      </c>
      <c r="BB185" s="98"/>
    </row>
    <row r="186" spans="1:54" ht="15" thickBot="1" x14ac:dyDescent="0.35">
      <c r="AB186" s="86"/>
      <c r="AC186" s="86"/>
      <c r="AD186" s="86"/>
      <c r="AE186" s="86"/>
      <c r="AF186" s="86"/>
      <c r="AG186" s="86"/>
      <c r="AH186" s="96"/>
      <c r="AI186" s="96"/>
      <c r="AJ186" s="96"/>
      <c r="AK186" s="96"/>
      <c r="AL186" s="96">
        <f t="shared" ref="AL186:AW186" si="65">ROUND(AL181+AL185,5)</f>
        <v>3379.65</v>
      </c>
      <c r="AM186" s="96">
        <f t="shared" si="65"/>
        <v>-3012.35</v>
      </c>
      <c r="AN186" s="96">
        <f t="shared" si="65"/>
        <v>-3352.29</v>
      </c>
      <c r="AO186" s="96">
        <f t="shared" si="65"/>
        <v>-8759.74</v>
      </c>
      <c r="AP186" s="96">
        <f t="shared" si="65"/>
        <v>2275.2600000000002</v>
      </c>
      <c r="AQ186" s="96">
        <f t="shared" si="65"/>
        <v>-9141.42</v>
      </c>
      <c r="AR186" s="96">
        <f t="shared" si="65"/>
        <v>-2522.06</v>
      </c>
      <c r="AS186" s="96">
        <f t="shared" si="65"/>
        <v>-9875.18</v>
      </c>
      <c r="AT186" s="96">
        <f t="shared" si="65"/>
        <v>-10281.08</v>
      </c>
      <c r="AU186" s="96">
        <f t="shared" si="65"/>
        <v>-4192.53</v>
      </c>
      <c r="AV186" s="96">
        <f t="shared" si="65"/>
        <v>11137.13</v>
      </c>
      <c r="AW186" s="96">
        <f t="shared" si="65"/>
        <v>-416.52</v>
      </c>
      <c r="AX186" s="96"/>
      <c r="AY186" s="97">
        <f>ROUND(SUM(AH186:AX186),5)</f>
        <v>-34761.129999999997</v>
      </c>
      <c r="AZ186" s="97">
        <f>ROUND(AZ181+AZ185,5)</f>
        <v>0</v>
      </c>
      <c r="BA186" s="97">
        <f>ROUND(BA181+BA185,5)</f>
        <v>0</v>
      </c>
      <c r="BB186" s="98"/>
    </row>
    <row r="187" spans="1:54" ht="15" thickBot="1" x14ac:dyDescent="0.35">
      <c r="AF187" s="86"/>
      <c r="AG187" s="86"/>
      <c r="AH187" s="106"/>
      <c r="AI187" s="106"/>
      <c r="AJ187" s="106"/>
      <c r="AK187" s="106"/>
      <c r="AL187" s="106">
        <f t="shared" ref="AL187:AW187" si="66">ROUND(AL180+AL186,5)</f>
        <v>-5461.39</v>
      </c>
      <c r="AM187" s="106">
        <f t="shared" si="66"/>
        <v>-13891.62</v>
      </c>
      <c r="AN187" s="106">
        <f t="shared" si="66"/>
        <v>-5677.73</v>
      </c>
      <c r="AO187" s="106">
        <f t="shared" si="66"/>
        <v>34737.85</v>
      </c>
      <c r="AP187" s="106">
        <f t="shared" si="66"/>
        <v>-11168.92</v>
      </c>
      <c r="AQ187" s="106">
        <f t="shared" si="66"/>
        <v>201781.62</v>
      </c>
      <c r="AR187" s="106">
        <f t="shared" si="66"/>
        <v>209369.41</v>
      </c>
      <c r="AS187" s="106">
        <f t="shared" si="66"/>
        <v>16803.47</v>
      </c>
      <c r="AT187" s="106">
        <f t="shared" si="66"/>
        <v>7166.63</v>
      </c>
      <c r="AU187" s="106">
        <f t="shared" si="66"/>
        <v>40104.85</v>
      </c>
      <c r="AV187" s="106">
        <f t="shared" si="66"/>
        <v>183958.75</v>
      </c>
      <c r="AW187" s="106">
        <f t="shared" si="66"/>
        <v>16013.61</v>
      </c>
      <c r="AX187" s="106"/>
      <c r="AY187" s="107">
        <f>ROUND(SUM(AH187:AX187),5)</f>
        <v>673736.53</v>
      </c>
      <c r="AZ187" s="107">
        <f>ROUND(AZ180+AZ186,5)</f>
        <v>-366500</v>
      </c>
      <c r="BA187" s="107">
        <f>ROUND(BA180+BA186,5)</f>
        <v>-351500</v>
      </c>
      <c r="BB187" s="108"/>
    </row>
    <row r="188" spans="1:54" ht="15" thickTop="1" x14ac:dyDescent="0.3"/>
  </sheetData>
  <printOptions horizontalCentered="1"/>
  <pageMargins left="0.7" right="0.7" top="0.75" bottom="0.75" header="0.1" footer="0.3"/>
  <pageSetup orientation="portrait" horizontalDpi="0" verticalDpi="0" r:id="rId1"/>
  <headerFooter>
    <oddHeader>&amp;C&amp;"Arial,Bold"&amp;12 Temecula Public Cemetery District
&amp;14Third&amp;12 &amp;14Draft Budget
22-23</oddHeader>
    <oddFooter>&amp;R&amp;"Arial,Bold"&amp;8 Page &amp;P of &amp;N</oddFooter>
  </headerFooter>
  <drawing r:id="rId2"/>
  <legacyDrawing r:id="rId3"/>
  <controls>
    <mc:AlternateContent xmlns:mc="http://schemas.openxmlformats.org/markup-compatibility/2006">
      <mc:Choice Requires="x14">
        <control shapeId="142337" r:id="rId4" name="FILTER">
          <controlPr defaultSize="0" autoLine="0" r:id="rId5">
            <anchor moveWithCells="1">
              <from>
                <xdr:col>0</xdr:col>
                <xdr:colOff>0</xdr:colOff>
                <xdr:row>0</xdr:row>
                <xdr:rowOff>0</xdr:rowOff>
              </from>
              <to>
                <xdr:col>4</xdr:col>
                <xdr:colOff>68580</xdr:colOff>
                <xdr:row>0</xdr:row>
                <xdr:rowOff>236220</xdr:rowOff>
              </to>
            </anchor>
          </controlPr>
        </control>
      </mc:Choice>
      <mc:Fallback>
        <control shapeId="142337" r:id="rId4" name="FILTER"/>
      </mc:Fallback>
    </mc:AlternateContent>
    <mc:AlternateContent xmlns:mc="http://schemas.openxmlformats.org/markup-compatibility/2006">
      <mc:Choice Requires="x14">
        <control shapeId="142338" r:id="rId6" name="HEADER">
          <controlPr defaultSize="0" autoLine="0" r:id="rId7">
            <anchor moveWithCells="1">
              <from>
                <xdr:col>0</xdr:col>
                <xdr:colOff>0</xdr:colOff>
                <xdr:row>0</xdr:row>
                <xdr:rowOff>0</xdr:rowOff>
              </from>
              <to>
                <xdr:col>4</xdr:col>
                <xdr:colOff>68580</xdr:colOff>
                <xdr:row>0</xdr:row>
                <xdr:rowOff>236220</xdr:rowOff>
              </to>
            </anchor>
          </controlPr>
        </control>
      </mc:Choice>
      <mc:Fallback>
        <control shapeId="142338" r:id="rId6" name="HEADER"/>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84B25-D44A-410C-8411-19735787B42B}">
  <sheetPr codeName="Sheet6"/>
  <dimension ref="A1:BD188"/>
  <sheetViews>
    <sheetView workbookViewId="0">
      <pane xSplit="7" ySplit="1" topLeftCell="L79" activePane="bottomRight" state="frozenSplit"/>
      <selection pane="topRight" activeCell="H1" sqref="H1"/>
      <selection pane="bottomLeft" activeCell="A2" sqref="A2"/>
      <selection pane="bottomRight" activeCell="U1" sqref="U1"/>
    </sheetView>
  </sheetViews>
  <sheetFormatPr defaultRowHeight="14.4" x14ac:dyDescent="0.3"/>
  <cols>
    <col min="1" max="6" width="3" style="56" customWidth="1"/>
    <col min="7" max="7" width="30.5546875" style="56" customWidth="1"/>
    <col min="8" max="8" width="7.88671875" customWidth="1"/>
    <col min="9" max="12" width="8.44140625" customWidth="1"/>
    <col min="13" max="14" width="8.6640625" customWidth="1"/>
    <col min="15" max="15" width="8.44140625" customWidth="1"/>
    <col min="16" max="16" width="9.33203125" customWidth="1"/>
    <col min="17" max="17" width="7.88671875" customWidth="1"/>
    <col min="18" max="19" width="8.6640625" customWidth="1"/>
    <col min="20" max="20" width="8.33203125" customWidth="1"/>
    <col min="21" max="23" width="10" bestFit="1" customWidth="1"/>
    <col min="24" max="24" width="45.6640625" style="68" customWidth="1"/>
    <col min="25" max="27" width="8.88671875" customWidth="1"/>
    <col min="28" max="32" width="3" style="105" customWidth="1"/>
    <col min="33" max="33" width="23.44140625" style="105" customWidth="1"/>
    <col min="34" max="35" width="7.109375" style="109" customWidth="1"/>
    <col min="36" max="36" width="7.88671875" style="109" customWidth="1"/>
    <col min="37" max="37" width="8.33203125" style="109" customWidth="1"/>
    <col min="38" max="38" width="7.109375" style="109" customWidth="1"/>
    <col min="39" max="39" width="7.5546875" style="109" customWidth="1"/>
    <col min="40" max="41" width="7.109375" style="109" customWidth="1"/>
    <col min="42" max="42" width="7.5546875" style="109" customWidth="1"/>
    <col min="43" max="44" width="7.88671875" style="109" customWidth="1"/>
    <col min="45" max="45" width="7.109375" style="109" customWidth="1"/>
    <col min="46" max="46" width="7.5546875" style="109" customWidth="1"/>
    <col min="47" max="49" width="9.5546875" style="109" customWidth="1"/>
    <col min="50" max="50" width="7.5546875" style="109" customWidth="1"/>
    <col min="51" max="51" width="10.109375" style="110" customWidth="1"/>
    <col min="52" max="52" width="9.5546875" style="110" customWidth="1"/>
    <col min="53" max="53" width="10" style="110" customWidth="1"/>
    <col min="54" max="54" width="22.88671875" style="111" customWidth="1"/>
    <col min="55" max="56" width="8.88671875" customWidth="1"/>
  </cols>
  <sheetData>
    <row r="1" spans="1:54" s="65" customFormat="1" ht="33.75" customHeight="1" thickBot="1" x14ac:dyDescent="0.25">
      <c r="A1" s="63"/>
      <c r="B1" s="63"/>
      <c r="C1" s="63"/>
      <c r="D1" s="63"/>
      <c r="E1" s="63"/>
      <c r="F1" s="63"/>
      <c r="G1" s="63"/>
      <c r="H1" s="64" t="s">
        <v>266</v>
      </c>
      <c r="I1" s="64" t="s">
        <v>267</v>
      </c>
      <c r="J1" s="64" t="s">
        <v>268</v>
      </c>
      <c r="K1" s="64" t="s">
        <v>269</v>
      </c>
      <c r="L1" s="64" t="s">
        <v>270</v>
      </c>
      <c r="M1" s="64" t="s">
        <v>271</v>
      </c>
      <c r="N1" s="64" t="s">
        <v>272</v>
      </c>
      <c r="O1" s="64" t="s">
        <v>273</v>
      </c>
      <c r="P1" s="64" t="s">
        <v>274</v>
      </c>
      <c r="Q1" s="64" t="s">
        <v>294</v>
      </c>
      <c r="R1" s="64" t="s">
        <v>306</v>
      </c>
      <c r="S1" s="64" t="s">
        <v>282</v>
      </c>
      <c r="T1" s="64"/>
      <c r="U1" s="64" t="s">
        <v>314</v>
      </c>
      <c r="V1" s="64" t="s">
        <v>308</v>
      </c>
      <c r="W1" s="64" t="s">
        <v>283</v>
      </c>
      <c r="X1" s="68"/>
      <c r="AB1" s="83"/>
      <c r="AC1" s="83"/>
      <c r="AD1" s="83"/>
      <c r="AE1" s="83"/>
      <c r="AF1" s="83"/>
      <c r="AG1" s="83"/>
      <c r="AH1" s="84"/>
      <c r="AI1" s="84"/>
      <c r="AJ1" s="84"/>
      <c r="AK1" s="84"/>
      <c r="AL1" s="84" t="s">
        <v>221</v>
      </c>
      <c r="AM1" s="84" t="s">
        <v>222</v>
      </c>
      <c r="AN1" s="84" t="s">
        <v>223</v>
      </c>
      <c r="AO1" s="84" t="s">
        <v>224</v>
      </c>
      <c r="AP1" s="84" t="s">
        <v>225</v>
      </c>
      <c r="AQ1" s="84" t="s">
        <v>226</v>
      </c>
      <c r="AR1" s="84" t="s">
        <v>227</v>
      </c>
      <c r="AS1" s="84" t="s">
        <v>228</v>
      </c>
      <c r="AT1" s="84" t="s">
        <v>229</v>
      </c>
      <c r="AU1" s="84" t="s">
        <v>260</v>
      </c>
      <c r="AV1" s="84" t="s">
        <v>234</v>
      </c>
      <c r="AW1" s="84" t="s">
        <v>235</v>
      </c>
      <c r="AX1" s="84"/>
      <c r="AY1" s="85" t="s">
        <v>236</v>
      </c>
      <c r="AZ1" s="85" t="s">
        <v>220</v>
      </c>
      <c r="BA1" s="85" t="s">
        <v>240</v>
      </c>
      <c r="BB1" s="85" t="s">
        <v>241</v>
      </c>
    </row>
    <row r="2" spans="1:54" ht="15" thickTop="1" x14ac:dyDescent="0.3">
      <c r="A2" s="50"/>
      <c r="B2" s="50" t="s">
        <v>1</v>
      </c>
      <c r="C2" s="50"/>
      <c r="D2" s="50"/>
      <c r="E2" s="50"/>
      <c r="F2" s="50"/>
      <c r="G2" s="50"/>
      <c r="H2" s="51"/>
      <c r="I2" s="51"/>
      <c r="J2" s="51"/>
      <c r="K2" s="51"/>
      <c r="L2" s="51"/>
      <c r="M2" s="51"/>
      <c r="N2" s="51"/>
      <c r="O2" s="51"/>
      <c r="P2" s="51"/>
      <c r="Q2" s="51"/>
      <c r="R2" s="51"/>
      <c r="S2" s="51"/>
      <c r="T2" s="51"/>
      <c r="U2" s="51"/>
      <c r="V2" s="51"/>
      <c r="W2" s="51"/>
      <c r="AB2" s="86" t="s">
        <v>1</v>
      </c>
      <c r="AC2" s="86"/>
      <c r="AD2" s="86"/>
      <c r="AE2" s="86"/>
      <c r="AF2" s="86"/>
      <c r="AG2" s="86"/>
      <c r="AH2" s="87"/>
      <c r="AI2" s="87"/>
      <c r="AJ2" s="87"/>
      <c r="AK2" s="87"/>
      <c r="AL2" s="87"/>
      <c r="AM2" s="87"/>
      <c r="AN2" s="87"/>
      <c r="AO2" s="87"/>
      <c r="AP2" s="87"/>
      <c r="AQ2" s="87"/>
      <c r="AR2" s="87"/>
      <c r="AS2" s="87"/>
      <c r="AT2" s="87"/>
      <c r="AU2" s="87"/>
      <c r="AV2" s="87"/>
      <c r="AW2" s="87"/>
      <c r="AX2" s="87"/>
      <c r="AY2" s="88"/>
      <c r="AZ2" s="88"/>
      <c r="BA2" s="88"/>
      <c r="BB2" s="89"/>
    </row>
    <row r="3" spans="1:54" x14ac:dyDescent="0.3">
      <c r="A3" s="50"/>
      <c r="B3" s="50"/>
      <c r="C3" s="50"/>
      <c r="D3" s="50" t="s">
        <v>2</v>
      </c>
      <c r="E3" s="50"/>
      <c r="F3" s="50"/>
      <c r="G3" s="50"/>
      <c r="H3" s="51"/>
      <c r="I3" s="51"/>
      <c r="J3" s="51"/>
      <c r="K3" s="51"/>
      <c r="L3" s="51"/>
      <c r="M3" s="51"/>
      <c r="N3" s="51"/>
      <c r="O3" s="51"/>
      <c r="P3" s="51"/>
      <c r="Q3" s="51"/>
      <c r="R3" s="51"/>
      <c r="S3" s="51"/>
      <c r="T3" s="51"/>
      <c r="U3" s="51"/>
      <c r="V3" s="51"/>
      <c r="W3" s="51"/>
      <c r="AB3" s="86"/>
      <c r="AC3" s="86"/>
      <c r="AD3" s="86" t="s">
        <v>2</v>
      </c>
      <c r="AE3" s="86"/>
      <c r="AF3" s="86"/>
      <c r="AG3" s="86"/>
      <c r="AH3" s="87"/>
      <c r="AI3" s="87"/>
      <c r="AJ3" s="87"/>
      <c r="AK3" s="87"/>
      <c r="AL3" s="87"/>
      <c r="AM3" s="87"/>
      <c r="AN3" s="87"/>
      <c r="AO3" s="87"/>
      <c r="AP3" s="87"/>
      <c r="AQ3" s="87"/>
      <c r="AR3" s="87"/>
      <c r="AS3" s="87"/>
      <c r="AT3" s="87"/>
      <c r="AU3" s="87"/>
      <c r="AV3" s="87"/>
      <c r="AW3" s="87"/>
      <c r="AX3" s="87"/>
      <c r="AY3" s="88"/>
      <c r="AZ3" s="88"/>
      <c r="BA3" s="88"/>
      <c r="BB3" s="89"/>
    </row>
    <row r="4" spans="1:54" x14ac:dyDescent="0.3">
      <c r="A4" s="50"/>
      <c r="B4" s="50"/>
      <c r="C4" s="50"/>
      <c r="D4" s="50"/>
      <c r="E4" s="50" t="s">
        <v>74</v>
      </c>
      <c r="F4" s="50"/>
      <c r="G4" s="50"/>
      <c r="H4" s="51"/>
      <c r="I4" s="51"/>
      <c r="J4" s="51"/>
      <c r="K4" s="51"/>
      <c r="L4" s="51"/>
      <c r="M4" s="51"/>
      <c r="N4" s="51"/>
      <c r="O4" s="51"/>
      <c r="P4" s="51"/>
      <c r="Q4" s="51"/>
      <c r="R4" s="51"/>
      <c r="S4" s="51"/>
      <c r="T4" s="51"/>
      <c r="U4" s="51"/>
      <c r="V4" s="51"/>
      <c r="W4" s="51"/>
      <c r="AB4" s="86"/>
      <c r="AC4" s="86"/>
      <c r="AD4" s="86"/>
      <c r="AE4" s="86" t="s">
        <v>74</v>
      </c>
      <c r="AF4" s="86"/>
      <c r="AG4" s="86"/>
      <c r="AH4" s="87"/>
      <c r="AI4" s="87"/>
      <c r="AJ4" s="87"/>
      <c r="AK4" s="87"/>
      <c r="AL4" s="87"/>
      <c r="AM4" s="87"/>
      <c r="AN4" s="87"/>
      <c r="AO4" s="87"/>
      <c r="AP4" s="87"/>
      <c r="AQ4" s="87"/>
      <c r="AR4" s="87"/>
      <c r="AS4" s="87"/>
      <c r="AT4" s="87"/>
      <c r="AU4" s="87"/>
      <c r="AV4" s="87"/>
      <c r="AW4" s="87"/>
      <c r="AX4" s="87"/>
      <c r="AY4" s="88"/>
      <c r="AZ4" s="88"/>
      <c r="BA4" s="88"/>
      <c r="BB4" s="89"/>
    </row>
    <row r="5" spans="1:54" x14ac:dyDescent="0.3">
      <c r="A5" s="50"/>
      <c r="B5" s="50"/>
      <c r="C5" s="50"/>
      <c r="D5" s="50"/>
      <c r="E5" s="50"/>
      <c r="F5" s="50" t="s">
        <v>75</v>
      </c>
      <c r="G5" s="50"/>
      <c r="H5" s="51">
        <v>0</v>
      </c>
      <c r="I5" s="51">
        <v>0</v>
      </c>
      <c r="J5" s="51">
        <v>0</v>
      </c>
      <c r="K5" s="51">
        <v>10434.290000000001</v>
      </c>
      <c r="L5" s="51">
        <v>-1558.69</v>
      </c>
      <c r="M5" s="51">
        <v>207958.45</v>
      </c>
      <c r="N5" s="51">
        <v>168614.58</v>
      </c>
      <c r="O5" s="51">
        <v>0</v>
      </c>
      <c r="P5" s="51">
        <v>0</v>
      </c>
      <c r="Q5" s="51">
        <v>69317.960000000006</v>
      </c>
      <c r="R5" s="51">
        <v>207662.09</v>
      </c>
      <c r="S5" s="51">
        <v>16877</v>
      </c>
      <c r="T5" s="51"/>
      <c r="U5" s="51">
        <f t="shared" ref="U5:U15" si="0">ROUND(SUM(H5:T5),5)</f>
        <v>679305.68</v>
      </c>
      <c r="V5" s="67">
        <v>663000</v>
      </c>
      <c r="W5" s="67">
        <f>663000-766800+800000</f>
        <v>696200</v>
      </c>
      <c r="AB5" s="86"/>
      <c r="AC5" s="86"/>
      <c r="AD5" s="86"/>
      <c r="AE5" s="86"/>
      <c r="AF5" s="86" t="s">
        <v>75</v>
      </c>
      <c r="AG5" s="86"/>
      <c r="AH5" s="87"/>
      <c r="AI5" s="87"/>
      <c r="AJ5" s="87"/>
      <c r="AK5" s="87"/>
      <c r="AL5" s="87">
        <v>-4000.33</v>
      </c>
      <c r="AM5" s="87">
        <v>0</v>
      </c>
      <c r="AN5" s="87">
        <v>0</v>
      </c>
      <c r="AO5" s="87">
        <v>0</v>
      </c>
      <c r="AP5" s="87">
        <v>0</v>
      </c>
      <c r="AQ5" s="87">
        <v>198022.72</v>
      </c>
      <c r="AR5" s="87">
        <v>156187.59</v>
      </c>
      <c r="AS5" s="87">
        <v>3095.51</v>
      </c>
      <c r="AT5" s="87">
        <v>0</v>
      </c>
      <c r="AU5" s="87">
        <v>66007.55</v>
      </c>
      <c r="AV5" s="87">
        <v>190781.16</v>
      </c>
      <c r="AW5" s="87">
        <v>13907</v>
      </c>
      <c r="AX5" s="87"/>
      <c r="AY5" s="88">
        <f t="shared" ref="AY5:AY15" si="1">ROUND(SUM(AH5:AX5),5)</f>
        <v>624001.19999999995</v>
      </c>
      <c r="AZ5" s="88">
        <v>625300</v>
      </c>
      <c r="BA5" s="88">
        <v>663000</v>
      </c>
      <c r="BB5" s="89"/>
    </row>
    <row r="6" spans="1:54" x14ac:dyDescent="0.3">
      <c r="A6" s="50"/>
      <c r="B6" s="50"/>
      <c r="C6" s="50"/>
      <c r="D6" s="50"/>
      <c r="E6" s="50"/>
      <c r="F6" s="50" t="s">
        <v>76</v>
      </c>
      <c r="G6" s="50"/>
      <c r="H6" s="51">
        <v>0</v>
      </c>
      <c r="I6" s="51">
        <v>2255.1999999999998</v>
      </c>
      <c r="J6" s="51">
        <v>0</v>
      </c>
      <c r="K6" s="51">
        <v>28316.05</v>
      </c>
      <c r="L6" s="51">
        <v>0</v>
      </c>
      <c r="M6" s="51">
        <v>0</v>
      </c>
      <c r="N6" s="51">
        <v>0</v>
      </c>
      <c r="O6" s="51">
        <v>0</v>
      </c>
      <c r="P6" s="51">
        <v>4147.16</v>
      </c>
      <c r="Q6" s="51">
        <v>0</v>
      </c>
      <c r="R6" s="51">
        <v>0</v>
      </c>
      <c r="S6" s="51">
        <v>2000</v>
      </c>
      <c r="T6" s="51"/>
      <c r="U6" s="51">
        <f t="shared" si="0"/>
        <v>36718.410000000003</v>
      </c>
      <c r="V6" s="67">
        <v>25000</v>
      </c>
      <c r="W6" s="67">
        <v>25000</v>
      </c>
      <c r="AB6" s="86"/>
      <c r="AC6" s="86"/>
      <c r="AD6" s="86"/>
      <c r="AE6" s="86"/>
      <c r="AF6" s="86" t="s">
        <v>76</v>
      </c>
      <c r="AG6" s="86"/>
      <c r="AH6" s="87"/>
      <c r="AI6" s="87"/>
      <c r="AJ6" s="87"/>
      <c r="AK6" s="87"/>
      <c r="AL6" s="87">
        <v>0</v>
      </c>
      <c r="AM6" s="87">
        <v>0</v>
      </c>
      <c r="AN6" s="87">
        <v>0</v>
      </c>
      <c r="AO6" s="87">
        <v>25398.66</v>
      </c>
      <c r="AP6" s="87">
        <v>0</v>
      </c>
      <c r="AQ6" s="87">
        <v>1708.76</v>
      </c>
      <c r="AR6" s="87">
        <v>0</v>
      </c>
      <c r="AS6" s="87">
        <v>0</v>
      </c>
      <c r="AT6" s="87">
        <v>0</v>
      </c>
      <c r="AU6" s="87">
        <v>0</v>
      </c>
      <c r="AV6" s="87">
        <v>0</v>
      </c>
      <c r="AW6" s="87">
        <v>17730</v>
      </c>
      <c r="AX6" s="87"/>
      <c r="AY6" s="88">
        <f t="shared" si="1"/>
        <v>44837.42</v>
      </c>
      <c r="AZ6" s="88">
        <v>15000</v>
      </c>
      <c r="BA6" s="88">
        <v>25000</v>
      </c>
      <c r="BB6" s="89" t="s">
        <v>254</v>
      </c>
    </row>
    <row r="7" spans="1:54" x14ac:dyDescent="0.3">
      <c r="A7" s="50"/>
      <c r="B7" s="50"/>
      <c r="C7" s="50"/>
      <c r="D7" s="50"/>
      <c r="E7" s="50"/>
      <c r="F7" s="50" t="s">
        <v>275</v>
      </c>
      <c r="G7" s="50"/>
      <c r="H7" s="51">
        <v>0</v>
      </c>
      <c r="I7" s="51">
        <v>-965.01</v>
      </c>
      <c r="J7" s="51">
        <v>0</v>
      </c>
      <c r="K7" s="51">
        <v>0</v>
      </c>
      <c r="L7" s="51">
        <v>0</v>
      </c>
      <c r="M7" s="51">
        <v>0</v>
      </c>
      <c r="N7" s="51">
        <v>0</v>
      </c>
      <c r="O7" s="51">
        <v>0</v>
      </c>
      <c r="P7" s="51">
        <v>0</v>
      </c>
      <c r="Q7" s="51">
        <v>0</v>
      </c>
      <c r="R7" s="51">
        <v>0</v>
      </c>
      <c r="S7" s="51">
        <v>0</v>
      </c>
      <c r="T7" s="51"/>
      <c r="U7" s="51">
        <f t="shared" si="0"/>
        <v>-965.01</v>
      </c>
      <c r="V7" s="51">
        <v>0</v>
      </c>
      <c r="W7" s="51">
        <v>0</v>
      </c>
      <c r="AB7" s="86"/>
      <c r="AC7" s="86"/>
      <c r="AD7" s="86"/>
      <c r="AE7" s="86"/>
      <c r="AF7" s="86"/>
      <c r="AG7" s="86"/>
      <c r="AH7" s="87"/>
      <c r="AI7" s="87"/>
      <c r="AJ7" s="87"/>
      <c r="AK7" s="87"/>
      <c r="AL7" s="87"/>
      <c r="AM7" s="87"/>
      <c r="AN7" s="87"/>
      <c r="AO7" s="87"/>
      <c r="AP7" s="87"/>
      <c r="AQ7" s="87"/>
      <c r="AR7" s="87"/>
      <c r="AS7" s="87"/>
      <c r="AT7" s="87"/>
      <c r="AU7" s="87"/>
      <c r="AV7" s="87"/>
      <c r="AW7" s="87"/>
      <c r="AX7" s="87"/>
      <c r="AY7" s="88"/>
      <c r="AZ7" s="88"/>
      <c r="BA7" s="88"/>
      <c r="BB7" s="89"/>
    </row>
    <row r="8" spans="1:54" x14ac:dyDescent="0.3">
      <c r="A8" s="50"/>
      <c r="B8" s="50"/>
      <c r="C8" s="50"/>
      <c r="D8" s="50"/>
      <c r="E8" s="50"/>
      <c r="F8" s="50" t="s">
        <v>77</v>
      </c>
      <c r="G8" s="50"/>
      <c r="H8" s="51">
        <v>0</v>
      </c>
      <c r="I8" s="51">
        <v>0</v>
      </c>
      <c r="J8" s="51">
        <v>0</v>
      </c>
      <c r="K8" s="51">
        <v>0</v>
      </c>
      <c r="L8" s="51">
        <v>0</v>
      </c>
      <c r="M8" s="51">
        <v>0</v>
      </c>
      <c r="N8" s="51">
        <v>0</v>
      </c>
      <c r="O8" s="51">
        <v>0</v>
      </c>
      <c r="P8" s="51">
        <v>0</v>
      </c>
      <c r="Q8" s="51">
        <v>0</v>
      </c>
      <c r="R8" s="51">
        <v>0</v>
      </c>
      <c r="S8" s="51">
        <v>3049</v>
      </c>
      <c r="T8" s="51"/>
      <c r="U8" s="51">
        <f t="shared" si="0"/>
        <v>3049</v>
      </c>
      <c r="V8" s="67">
        <v>9600</v>
      </c>
      <c r="W8" s="67">
        <v>9600</v>
      </c>
      <c r="AB8" s="86"/>
      <c r="AC8" s="86"/>
      <c r="AD8" s="86"/>
      <c r="AE8" s="86"/>
      <c r="AF8" s="86" t="s">
        <v>77</v>
      </c>
      <c r="AG8" s="86"/>
      <c r="AH8" s="87"/>
      <c r="AI8" s="87"/>
      <c r="AJ8" s="87"/>
      <c r="AK8" s="87"/>
      <c r="AL8" s="87">
        <v>0</v>
      </c>
      <c r="AM8" s="87">
        <v>0</v>
      </c>
      <c r="AN8" s="87">
        <v>0</v>
      </c>
      <c r="AO8" s="87">
        <v>0</v>
      </c>
      <c r="AP8" s="87">
        <v>0</v>
      </c>
      <c r="AQ8" s="87">
        <v>0</v>
      </c>
      <c r="AR8" s="87">
        <v>3744.8</v>
      </c>
      <c r="AS8" s="87">
        <v>0</v>
      </c>
      <c r="AT8" s="87">
        <v>2285.4699999999998</v>
      </c>
      <c r="AU8" s="87">
        <v>0</v>
      </c>
      <c r="AV8" s="87">
        <v>3115.61</v>
      </c>
      <c r="AW8" s="87">
        <v>260</v>
      </c>
      <c r="AX8" s="87"/>
      <c r="AY8" s="88">
        <f t="shared" si="1"/>
        <v>9405.8799999999992</v>
      </c>
      <c r="AZ8" s="88">
        <v>9000</v>
      </c>
      <c r="BA8" s="88">
        <v>9600</v>
      </c>
      <c r="BB8" s="89" t="s">
        <v>254</v>
      </c>
    </row>
    <row r="9" spans="1:54" x14ac:dyDescent="0.3">
      <c r="A9" s="50"/>
      <c r="B9" s="50"/>
      <c r="C9" s="50"/>
      <c r="D9" s="50"/>
      <c r="E9" s="50"/>
      <c r="F9" s="50" t="s">
        <v>78</v>
      </c>
      <c r="G9" s="50"/>
      <c r="H9" s="51">
        <v>0</v>
      </c>
      <c r="I9" s="51">
        <v>511.88</v>
      </c>
      <c r="J9" s="51">
        <v>0</v>
      </c>
      <c r="K9" s="51">
        <v>0</v>
      </c>
      <c r="L9" s="51">
        <v>0</v>
      </c>
      <c r="M9" s="51">
        <v>0</v>
      </c>
      <c r="N9" s="51">
        <v>0</v>
      </c>
      <c r="O9" s="51">
        <v>8608.42</v>
      </c>
      <c r="P9" s="51">
        <v>1439.07</v>
      </c>
      <c r="Q9" s="51">
        <v>0</v>
      </c>
      <c r="R9" s="51">
        <v>0</v>
      </c>
      <c r="S9" s="51">
        <v>0</v>
      </c>
      <c r="T9" s="51"/>
      <c r="U9" s="51">
        <f t="shared" si="0"/>
        <v>10559.37</v>
      </c>
      <c r="V9" s="67">
        <v>4500</v>
      </c>
      <c r="W9" s="67">
        <v>4500</v>
      </c>
      <c r="AB9" s="86"/>
      <c r="AC9" s="86"/>
      <c r="AD9" s="86"/>
      <c r="AE9" s="86"/>
      <c r="AF9" s="86" t="s">
        <v>78</v>
      </c>
      <c r="AG9" s="86"/>
      <c r="AH9" s="87"/>
      <c r="AI9" s="87"/>
      <c r="AJ9" s="87"/>
      <c r="AK9" s="87"/>
      <c r="AL9" s="87">
        <v>0</v>
      </c>
      <c r="AM9" s="87">
        <v>0</v>
      </c>
      <c r="AN9" s="87">
        <v>0</v>
      </c>
      <c r="AO9" s="87">
        <v>0</v>
      </c>
      <c r="AP9" s="87">
        <v>0</v>
      </c>
      <c r="AQ9" s="87">
        <v>0</v>
      </c>
      <c r="AR9" s="87">
        <v>3829.4</v>
      </c>
      <c r="AS9" s="87">
        <v>0</v>
      </c>
      <c r="AT9" s="87">
        <v>644.45000000000005</v>
      </c>
      <c r="AU9" s="87">
        <v>0</v>
      </c>
      <c r="AV9" s="87">
        <v>0</v>
      </c>
      <c r="AW9" s="87">
        <v>2014.63</v>
      </c>
      <c r="AX9" s="87"/>
      <c r="AY9" s="88">
        <f t="shared" si="1"/>
        <v>6488.48</v>
      </c>
      <c r="AZ9" s="88">
        <v>3500</v>
      </c>
      <c r="BA9" s="88">
        <v>4500</v>
      </c>
      <c r="BB9" s="89" t="s">
        <v>254</v>
      </c>
    </row>
    <row r="10" spans="1:54" x14ac:dyDescent="0.3">
      <c r="A10" s="50"/>
      <c r="B10" s="50"/>
      <c r="C10" s="50"/>
      <c r="D10" s="50"/>
      <c r="E10" s="50"/>
      <c r="F10" s="50" t="s">
        <v>79</v>
      </c>
      <c r="G10" s="50"/>
      <c r="H10" s="51">
        <v>0</v>
      </c>
      <c r="I10" s="51">
        <v>0</v>
      </c>
      <c r="J10" s="51">
        <v>0</v>
      </c>
      <c r="K10" s="51">
        <v>0</v>
      </c>
      <c r="L10" s="51">
        <v>0</v>
      </c>
      <c r="M10" s="51">
        <v>0</v>
      </c>
      <c r="N10" s="51">
        <v>0</v>
      </c>
      <c r="O10" s="51">
        <v>0</v>
      </c>
      <c r="P10" s="51">
        <v>0</v>
      </c>
      <c r="Q10" s="51">
        <v>0</v>
      </c>
      <c r="R10" s="51">
        <v>0</v>
      </c>
      <c r="S10" s="51">
        <v>-4890</v>
      </c>
      <c r="T10" s="51"/>
      <c r="U10" s="51">
        <f t="shared" si="0"/>
        <v>-4890</v>
      </c>
      <c r="V10" s="67">
        <v>10000</v>
      </c>
      <c r="W10" s="67">
        <v>10000</v>
      </c>
      <c r="AB10" s="86"/>
      <c r="AC10" s="86"/>
      <c r="AD10" s="86"/>
      <c r="AE10" s="86"/>
      <c r="AF10" s="86" t="s">
        <v>79</v>
      </c>
      <c r="AG10" s="86"/>
      <c r="AH10" s="87"/>
      <c r="AI10" s="87"/>
      <c r="AJ10" s="87"/>
      <c r="AK10" s="87"/>
      <c r="AL10" s="87">
        <v>0</v>
      </c>
      <c r="AM10" s="87">
        <v>0</v>
      </c>
      <c r="AN10" s="87">
        <v>0</v>
      </c>
      <c r="AO10" s="87">
        <v>4889.55</v>
      </c>
      <c r="AP10" s="87">
        <v>0</v>
      </c>
      <c r="AQ10" s="87">
        <v>0</v>
      </c>
      <c r="AR10" s="87">
        <v>0</v>
      </c>
      <c r="AS10" s="87">
        <v>0</v>
      </c>
      <c r="AT10" s="87">
        <v>0</v>
      </c>
      <c r="AU10" s="87">
        <v>0</v>
      </c>
      <c r="AV10" s="87">
        <v>0</v>
      </c>
      <c r="AW10" s="87">
        <v>-1639</v>
      </c>
      <c r="AX10" s="87"/>
      <c r="AY10" s="88">
        <f t="shared" si="1"/>
        <v>3250.55</v>
      </c>
      <c r="AZ10" s="88">
        <v>10000</v>
      </c>
      <c r="BA10" s="88">
        <v>10000</v>
      </c>
      <c r="BB10" s="89"/>
    </row>
    <row r="11" spans="1:54" x14ac:dyDescent="0.3">
      <c r="A11" s="50"/>
      <c r="B11" s="50"/>
      <c r="C11" s="50"/>
      <c r="D11" s="50"/>
      <c r="E11" s="50"/>
      <c r="F11" s="50" t="s">
        <v>80</v>
      </c>
      <c r="G11" s="50"/>
      <c r="H11" s="51">
        <v>0</v>
      </c>
      <c r="I11" s="51">
        <v>0</v>
      </c>
      <c r="J11" s="51">
        <v>0</v>
      </c>
      <c r="K11" s="51">
        <v>0</v>
      </c>
      <c r="L11" s="51">
        <v>0</v>
      </c>
      <c r="M11" s="51">
        <v>48208.65</v>
      </c>
      <c r="N11" s="51">
        <v>0</v>
      </c>
      <c r="O11" s="51">
        <v>0</v>
      </c>
      <c r="P11" s="51">
        <v>0</v>
      </c>
      <c r="Q11" s="51">
        <v>0</v>
      </c>
      <c r="R11" s="51">
        <v>49655.95</v>
      </c>
      <c r="S11" s="51">
        <v>0</v>
      </c>
      <c r="T11" s="51"/>
      <c r="U11" s="51">
        <f t="shared" si="0"/>
        <v>97864.6</v>
      </c>
      <c r="V11" s="67">
        <v>40000</v>
      </c>
      <c r="W11" s="67">
        <v>40000</v>
      </c>
      <c r="AB11" s="86"/>
      <c r="AC11" s="86"/>
      <c r="AD11" s="86"/>
      <c r="AE11" s="86"/>
      <c r="AF11" s="86" t="s">
        <v>80</v>
      </c>
      <c r="AG11" s="86"/>
      <c r="AH11" s="87"/>
      <c r="AI11" s="87"/>
      <c r="AJ11" s="87"/>
      <c r="AK11" s="87"/>
      <c r="AL11" s="87">
        <v>0</v>
      </c>
      <c r="AM11" s="87">
        <v>0</v>
      </c>
      <c r="AN11" s="87">
        <v>0</v>
      </c>
      <c r="AO11" s="87">
        <v>0</v>
      </c>
      <c r="AP11" s="87">
        <v>0</v>
      </c>
      <c r="AQ11" s="87">
        <v>0</v>
      </c>
      <c r="AR11" s="87">
        <v>43513.8</v>
      </c>
      <c r="AS11" s="87">
        <v>0</v>
      </c>
      <c r="AT11" s="87">
        <v>0</v>
      </c>
      <c r="AU11" s="87">
        <v>0</v>
      </c>
      <c r="AV11" s="87">
        <v>0</v>
      </c>
      <c r="AW11" s="87">
        <v>41834.04</v>
      </c>
      <c r="AX11" s="87"/>
      <c r="AY11" s="88">
        <f t="shared" si="1"/>
        <v>85347.839999999997</v>
      </c>
      <c r="AZ11" s="88">
        <v>40000</v>
      </c>
      <c r="BA11" s="88">
        <v>40000</v>
      </c>
      <c r="BB11" s="89"/>
    </row>
    <row r="12" spans="1:54" x14ac:dyDescent="0.3">
      <c r="A12" s="50"/>
      <c r="B12" s="50"/>
      <c r="C12" s="50"/>
      <c r="D12" s="50"/>
      <c r="E12" s="50"/>
      <c r="F12" s="50" t="s">
        <v>81</v>
      </c>
      <c r="G12" s="50"/>
      <c r="H12" s="51">
        <v>0</v>
      </c>
      <c r="I12" s="51">
        <v>0</v>
      </c>
      <c r="J12" s="51">
        <v>0</v>
      </c>
      <c r="K12" s="51">
        <v>0</v>
      </c>
      <c r="L12" s="51">
        <v>0</v>
      </c>
      <c r="M12" s="51">
        <v>934.92</v>
      </c>
      <c r="N12" s="51">
        <v>2181.48</v>
      </c>
      <c r="O12" s="51">
        <v>0</v>
      </c>
      <c r="P12" s="51">
        <v>0</v>
      </c>
      <c r="Q12" s="51">
        <v>0</v>
      </c>
      <c r="R12" s="51">
        <v>2181.67</v>
      </c>
      <c r="S12" s="51">
        <v>4023.37</v>
      </c>
      <c r="T12" s="51"/>
      <c r="U12" s="51">
        <f t="shared" si="0"/>
        <v>9321.44</v>
      </c>
      <c r="V12" s="67">
        <v>4000</v>
      </c>
      <c r="W12" s="67">
        <v>4000</v>
      </c>
      <c r="AB12" s="86"/>
      <c r="AC12" s="86"/>
      <c r="AD12" s="86"/>
      <c r="AE12" s="86"/>
      <c r="AF12" s="86" t="s">
        <v>81</v>
      </c>
      <c r="AG12" s="86"/>
      <c r="AH12" s="87"/>
      <c r="AI12" s="87"/>
      <c r="AJ12" s="87"/>
      <c r="AK12" s="87"/>
      <c r="AL12" s="87">
        <v>0</v>
      </c>
      <c r="AM12" s="87">
        <v>0</v>
      </c>
      <c r="AN12" s="87">
        <v>0</v>
      </c>
      <c r="AO12" s="87">
        <v>0</v>
      </c>
      <c r="AP12" s="87">
        <v>0</v>
      </c>
      <c r="AQ12" s="87">
        <v>0</v>
      </c>
      <c r="AR12" s="87">
        <v>0</v>
      </c>
      <c r="AS12" s="87">
        <v>0</v>
      </c>
      <c r="AT12" s="87">
        <v>0</v>
      </c>
      <c r="AU12" s="87">
        <v>0</v>
      </c>
      <c r="AV12" s="87">
        <v>2208.9</v>
      </c>
      <c r="AW12" s="87">
        <v>946.84</v>
      </c>
      <c r="AX12" s="87"/>
      <c r="AY12" s="88">
        <f t="shared" si="1"/>
        <v>3155.74</v>
      </c>
      <c r="AZ12" s="88">
        <v>7000</v>
      </c>
      <c r="BA12" s="88">
        <v>4000</v>
      </c>
      <c r="BB12" s="89"/>
    </row>
    <row r="13" spans="1:54" x14ac:dyDescent="0.3">
      <c r="A13" s="50"/>
      <c r="B13" s="50"/>
      <c r="C13" s="50"/>
      <c r="D13" s="50"/>
      <c r="E13" s="50"/>
      <c r="F13" s="50" t="s">
        <v>82</v>
      </c>
      <c r="G13" s="50"/>
      <c r="H13" s="51">
        <v>0</v>
      </c>
      <c r="I13" s="51">
        <v>-0.37</v>
      </c>
      <c r="J13" s="51">
        <v>0</v>
      </c>
      <c r="K13" s="51">
        <v>0</v>
      </c>
      <c r="L13" s="51">
        <v>0</v>
      </c>
      <c r="M13" s="51">
        <v>0</v>
      </c>
      <c r="N13" s="51">
        <v>0</v>
      </c>
      <c r="O13" s="51">
        <v>5630.34</v>
      </c>
      <c r="P13" s="51">
        <v>0</v>
      </c>
      <c r="Q13" s="51">
        <v>0</v>
      </c>
      <c r="R13" s="51">
        <v>5460.53</v>
      </c>
      <c r="S13" s="51">
        <v>0</v>
      </c>
      <c r="T13" s="51"/>
      <c r="U13" s="51">
        <f t="shared" si="0"/>
        <v>11090.5</v>
      </c>
      <c r="V13" s="67">
        <v>10500</v>
      </c>
      <c r="W13" s="67">
        <v>10500</v>
      </c>
      <c r="AB13" s="86"/>
      <c r="AC13" s="86"/>
      <c r="AD13" s="86"/>
      <c r="AE13" s="86"/>
      <c r="AF13" s="86" t="s">
        <v>82</v>
      </c>
      <c r="AG13" s="86"/>
      <c r="AH13" s="87"/>
      <c r="AI13" s="87"/>
      <c r="AJ13" s="87"/>
      <c r="AK13" s="87"/>
      <c r="AL13" s="87">
        <v>0</v>
      </c>
      <c r="AM13" s="87">
        <v>0</v>
      </c>
      <c r="AN13" s="87">
        <v>0</v>
      </c>
      <c r="AO13" s="87">
        <v>0</v>
      </c>
      <c r="AP13" s="87">
        <v>0</v>
      </c>
      <c r="AQ13" s="87">
        <v>0</v>
      </c>
      <c r="AR13" s="87">
        <v>5671.54</v>
      </c>
      <c r="AS13" s="87">
        <v>0</v>
      </c>
      <c r="AT13" s="87">
        <v>0</v>
      </c>
      <c r="AU13" s="87">
        <v>0</v>
      </c>
      <c r="AV13" s="87">
        <v>4670.6000000000004</v>
      </c>
      <c r="AW13" s="87">
        <v>143</v>
      </c>
      <c r="AX13" s="87"/>
      <c r="AY13" s="88">
        <f t="shared" si="1"/>
        <v>10485.14</v>
      </c>
      <c r="AZ13" s="88">
        <v>10000</v>
      </c>
      <c r="BA13" s="88">
        <v>10500</v>
      </c>
      <c r="BB13" s="89"/>
    </row>
    <row r="14" spans="1:54" ht="15" thickBot="1" x14ac:dyDescent="0.35">
      <c r="A14" s="50"/>
      <c r="B14" s="50"/>
      <c r="C14" s="50"/>
      <c r="D14" s="50"/>
      <c r="E14" s="50"/>
      <c r="F14" s="50" t="s">
        <v>83</v>
      </c>
      <c r="G14" s="50"/>
      <c r="H14" s="52">
        <v>0</v>
      </c>
      <c r="I14" s="52">
        <v>0</v>
      </c>
      <c r="J14" s="52">
        <v>0</v>
      </c>
      <c r="K14" s="52">
        <v>0</v>
      </c>
      <c r="L14" s="52">
        <v>0</v>
      </c>
      <c r="M14" s="52">
        <v>0</v>
      </c>
      <c r="N14" s="52">
        <v>0</v>
      </c>
      <c r="O14" s="52">
        <v>115.4</v>
      </c>
      <c r="P14" s="52">
        <v>0</v>
      </c>
      <c r="Q14" s="52">
        <v>0</v>
      </c>
      <c r="R14" s="52">
        <v>0</v>
      </c>
      <c r="S14" s="52">
        <v>-115.63</v>
      </c>
      <c r="T14" s="52"/>
      <c r="U14" s="52">
        <f t="shared" si="0"/>
        <v>-0.23</v>
      </c>
      <c r="V14" s="69">
        <v>200</v>
      </c>
      <c r="W14" s="69">
        <v>200</v>
      </c>
      <c r="AB14" s="86"/>
      <c r="AC14" s="86"/>
      <c r="AD14" s="86"/>
      <c r="AE14" s="86" t="s">
        <v>84</v>
      </c>
      <c r="AF14" s="86" t="s">
        <v>83</v>
      </c>
      <c r="AG14" s="86"/>
      <c r="AH14" s="90"/>
      <c r="AI14" s="90"/>
      <c r="AJ14" s="90"/>
      <c r="AK14" s="90"/>
      <c r="AL14" s="90">
        <v>0</v>
      </c>
      <c r="AM14" s="90">
        <v>0</v>
      </c>
      <c r="AN14" s="90">
        <v>0</v>
      </c>
      <c r="AO14" s="90">
        <v>0</v>
      </c>
      <c r="AP14" s="90">
        <v>0</v>
      </c>
      <c r="AQ14" s="90">
        <v>115.4</v>
      </c>
      <c r="AR14" s="90">
        <v>0</v>
      </c>
      <c r="AS14" s="90">
        <v>0</v>
      </c>
      <c r="AT14" s="90">
        <v>0</v>
      </c>
      <c r="AU14" s="90">
        <v>0</v>
      </c>
      <c r="AV14" s="90">
        <v>0</v>
      </c>
      <c r="AW14" s="90">
        <v>0</v>
      </c>
      <c r="AX14" s="90"/>
      <c r="AY14" s="91">
        <f t="shared" si="1"/>
        <v>115.4</v>
      </c>
      <c r="AZ14" s="91">
        <v>200</v>
      </c>
      <c r="BA14" s="91">
        <v>200</v>
      </c>
      <c r="BB14" s="92"/>
    </row>
    <row r="15" spans="1:54" x14ac:dyDescent="0.3">
      <c r="A15" s="50"/>
      <c r="B15" s="50"/>
      <c r="C15" s="50"/>
      <c r="D15" s="50"/>
      <c r="E15" s="50" t="s">
        <v>84</v>
      </c>
      <c r="F15" s="50"/>
      <c r="G15" s="50"/>
      <c r="H15" s="51">
        <f t="shared" ref="H15:P15" si="2">ROUND(SUM(H4:H14),5)</f>
        <v>0</v>
      </c>
      <c r="I15" s="51">
        <f t="shared" si="2"/>
        <v>1801.7</v>
      </c>
      <c r="J15" s="51">
        <f t="shared" si="2"/>
        <v>0</v>
      </c>
      <c r="K15" s="51">
        <f t="shared" si="2"/>
        <v>38750.339999999997</v>
      </c>
      <c r="L15" s="51">
        <f t="shared" si="2"/>
        <v>-1558.69</v>
      </c>
      <c r="M15" s="51">
        <f t="shared" si="2"/>
        <v>257102.02</v>
      </c>
      <c r="N15" s="51">
        <f t="shared" si="2"/>
        <v>170796.06</v>
      </c>
      <c r="O15" s="51">
        <f t="shared" si="2"/>
        <v>14354.16</v>
      </c>
      <c r="P15" s="51">
        <f t="shared" si="2"/>
        <v>5586.23</v>
      </c>
      <c r="Q15" s="51">
        <f>ROUND(SUM(Q4:Q14),5)</f>
        <v>69317.960000000006</v>
      </c>
      <c r="R15" s="51">
        <f>ROUND(SUM(R4:R14),5)</f>
        <v>264960.24</v>
      </c>
      <c r="S15" s="51">
        <f>ROUND(SUM(S4:S14),5)</f>
        <v>20943.740000000002</v>
      </c>
      <c r="T15" s="51"/>
      <c r="U15" s="51">
        <f t="shared" si="0"/>
        <v>842053.76</v>
      </c>
      <c r="V15" s="51">
        <f>ROUND(SUM(V4:V14),5)</f>
        <v>766800</v>
      </c>
      <c r="W15" s="51">
        <f>ROUND(SUM(W4:W14),5)</f>
        <v>800000</v>
      </c>
      <c r="X15" s="68" t="s">
        <v>304</v>
      </c>
      <c r="AB15" s="86"/>
      <c r="AC15" s="86"/>
      <c r="AD15" s="86"/>
      <c r="AE15" s="86" t="s">
        <v>85</v>
      </c>
      <c r="AF15" s="86"/>
      <c r="AG15" s="86"/>
      <c r="AH15" s="87"/>
      <c r="AI15" s="87"/>
      <c r="AJ15" s="87"/>
      <c r="AK15" s="87"/>
      <c r="AL15" s="87">
        <f t="shared" ref="AL15:AW15" si="3">ROUND(SUM(AL4:AL14),5)</f>
        <v>-4000.33</v>
      </c>
      <c r="AM15" s="87">
        <f t="shared" si="3"/>
        <v>0</v>
      </c>
      <c r="AN15" s="87">
        <f t="shared" si="3"/>
        <v>0</v>
      </c>
      <c r="AO15" s="87">
        <f t="shared" si="3"/>
        <v>30288.21</v>
      </c>
      <c r="AP15" s="87">
        <f t="shared" si="3"/>
        <v>0</v>
      </c>
      <c r="AQ15" s="87">
        <f t="shared" si="3"/>
        <v>199846.88</v>
      </c>
      <c r="AR15" s="87">
        <f t="shared" si="3"/>
        <v>212947.13</v>
      </c>
      <c r="AS15" s="87">
        <f t="shared" si="3"/>
        <v>3095.51</v>
      </c>
      <c r="AT15" s="87">
        <f t="shared" si="3"/>
        <v>2929.92</v>
      </c>
      <c r="AU15" s="87">
        <f t="shared" si="3"/>
        <v>66007.55</v>
      </c>
      <c r="AV15" s="87">
        <f t="shared" si="3"/>
        <v>200776.27</v>
      </c>
      <c r="AW15" s="87">
        <f t="shared" si="3"/>
        <v>75196.509999999995</v>
      </c>
      <c r="AX15" s="87"/>
      <c r="AY15" s="88">
        <f t="shared" si="1"/>
        <v>787087.65</v>
      </c>
      <c r="AZ15" s="88">
        <f>ROUND(SUM(AZ4:AZ14),5)</f>
        <v>720000</v>
      </c>
      <c r="BA15" s="88">
        <f>ROUND(SUM(BA4:BA14),5)</f>
        <v>766800</v>
      </c>
      <c r="BB15" s="89"/>
    </row>
    <row r="16" spans="1:54" x14ac:dyDescent="0.3">
      <c r="A16" s="50"/>
      <c r="B16" s="50"/>
      <c r="C16" s="50"/>
      <c r="D16" s="50"/>
      <c r="E16" s="50" t="s">
        <v>85</v>
      </c>
      <c r="F16" s="50"/>
      <c r="G16" s="50"/>
      <c r="H16" s="51"/>
      <c r="I16" s="51"/>
      <c r="J16" s="51"/>
      <c r="K16" s="51"/>
      <c r="L16" s="51"/>
      <c r="M16" s="51"/>
      <c r="N16" s="51"/>
      <c r="O16" s="51"/>
      <c r="P16" s="51"/>
      <c r="Q16" s="51"/>
      <c r="R16" s="51"/>
      <c r="S16" s="51"/>
      <c r="T16" s="51"/>
      <c r="U16" s="51"/>
      <c r="V16" s="51"/>
      <c r="W16" s="51"/>
      <c r="AB16" s="86"/>
      <c r="AC16" s="86"/>
      <c r="AD16" s="86"/>
      <c r="AE16" s="86"/>
      <c r="AF16" s="86"/>
      <c r="AG16" s="86"/>
      <c r="AH16" s="87"/>
      <c r="AI16" s="87"/>
      <c r="AJ16" s="87"/>
      <c r="AK16" s="87"/>
      <c r="AL16" s="87"/>
      <c r="AM16" s="87"/>
      <c r="AN16" s="87"/>
      <c r="AO16" s="87"/>
      <c r="AP16" s="87"/>
      <c r="AQ16" s="87"/>
      <c r="AR16" s="87"/>
      <c r="AS16" s="87"/>
      <c r="AT16" s="87"/>
      <c r="AU16" s="87"/>
      <c r="AV16" s="87"/>
      <c r="AW16" s="87"/>
      <c r="AX16" s="87"/>
      <c r="AY16" s="88"/>
      <c r="AZ16" s="88"/>
      <c r="BA16" s="88"/>
      <c r="BB16" s="89"/>
    </row>
    <row r="17" spans="1:54" x14ac:dyDescent="0.3">
      <c r="A17" s="50"/>
      <c r="B17" s="50"/>
      <c r="C17" s="50"/>
      <c r="D17" s="50"/>
      <c r="E17" s="50"/>
      <c r="F17" s="50" t="s">
        <v>86</v>
      </c>
      <c r="G17" s="50"/>
      <c r="H17" s="51">
        <v>518.41</v>
      </c>
      <c r="I17" s="51">
        <v>535.54999999999995</v>
      </c>
      <c r="J17" s="51">
        <v>500.23</v>
      </c>
      <c r="K17" s="51">
        <v>420.94</v>
      </c>
      <c r="L17" s="51">
        <v>405.16</v>
      </c>
      <c r="M17" s="51">
        <v>400.79</v>
      </c>
      <c r="N17" s="51">
        <v>586.54</v>
      </c>
      <c r="O17" s="51">
        <v>488.6</v>
      </c>
      <c r="P17" s="51">
        <v>447.88</v>
      </c>
      <c r="Q17" s="51">
        <v>638.1</v>
      </c>
      <c r="R17" s="51">
        <v>748.83</v>
      </c>
      <c r="S17" s="51">
        <v>432.04</v>
      </c>
      <c r="T17" s="51"/>
      <c r="U17" s="51">
        <f t="shared" ref="U17:U22" si="4">ROUND(SUM(H17:T17),5)</f>
        <v>6123.07</v>
      </c>
      <c r="V17" s="67">
        <v>10000</v>
      </c>
      <c r="W17" s="67">
        <v>5000</v>
      </c>
      <c r="X17" s="68" t="s">
        <v>292</v>
      </c>
      <c r="AB17" s="86"/>
      <c r="AC17" s="86"/>
      <c r="AD17" s="86"/>
      <c r="AE17" s="86"/>
      <c r="AF17" s="86" t="s">
        <v>86</v>
      </c>
      <c r="AG17" s="86"/>
      <c r="AH17" s="87"/>
      <c r="AI17" s="87"/>
      <c r="AJ17" s="87"/>
      <c r="AK17" s="87"/>
      <c r="AL17" s="87">
        <v>603.74</v>
      </c>
      <c r="AM17" s="87">
        <v>636.47</v>
      </c>
      <c r="AN17" s="87">
        <v>550.29999999999995</v>
      </c>
      <c r="AO17" s="87">
        <v>512.91999999999996</v>
      </c>
      <c r="AP17" s="87">
        <v>505.03</v>
      </c>
      <c r="AQ17" s="87">
        <v>452.33</v>
      </c>
      <c r="AR17" s="87">
        <v>7314.37</v>
      </c>
      <c r="AS17" s="87">
        <v>420.5</v>
      </c>
      <c r="AT17" s="87">
        <v>378.15</v>
      </c>
      <c r="AU17" s="87">
        <v>381.98</v>
      </c>
      <c r="AV17" s="87">
        <v>954.87</v>
      </c>
      <c r="AW17" s="87">
        <v>652.66</v>
      </c>
      <c r="AX17" s="87"/>
      <c r="AY17" s="88">
        <f t="shared" ref="AY17:AY22" si="5">ROUND(SUM(AH17:AX17),5)</f>
        <v>13363.32</v>
      </c>
      <c r="AZ17" s="88">
        <v>4000</v>
      </c>
      <c r="BA17" s="88">
        <v>10000</v>
      </c>
      <c r="BB17" s="89" t="s">
        <v>247</v>
      </c>
    </row>
    <row r="18" spans="1:54" x14ac:dyDescent="0.3">
      <c r="A18" s="50"/>
      <c r="B18" s="50"/>
      <c r="C18" s="50"/>
      <c r="D18" s="50"/>
      <c r="E18" s="50"/>
      <c r="F18" s="50" t="s">
        <v>87</v>
      </c>
      <c r="G18" s="50"/>
      <c r="H18" s="51">
        <v>16526.73</v>
      </c>
      <c r="I18" s="51">
        <v>5579.79</v>
      </c>
      <c r="J18" s="51">
        <v>5481.74</v>
      </c>
      <c r="K18" s="51">
        <v>5047.42</v>
      </c>
      <c r="L18" s="51">
        <v>6660.43</v>
      </c>
      <c r="M18" s="51">
        <v>5928.96</v>
      </c>
      <c r="N18" s="51">
        <v>5063.93</v>
      </c>
      <c r="O18" s="51">
        <v>6238.12</v>
      </c>
      <c r="P18" s="51">
        <v>8630.35</v>
      </c>
      <c r="Q18" s="51">
        <v>3905.15</v>
      </c>
      <c r="R18" s="51">
        <v>7105.54</v>
      </c>
      <c r="S18" s="51">
        <v>0</v>
      </c>
      <c r="T18" s="51"/>
      <c r="U18" s="51">
        <f t="shared" si="4"/>
        <v>76168.160000000003</v>
      </c>
      <c r="V18" s="67">
        <v>50000</v>
      </c>
      <c r="W18" s="67">
        <f>70000-1100</f>
        <v>68900</v>
      </c>
      <c r="X18" s="68" t="s">
        <v>293</v>
      </c>
      <c r="AB18" s="86"/>
      <c r="AC18" s="86"/>
      <c r="AD18" s="86"/>
      <c r="AE18" s="86"/>
      <c r="AF18" s="86" t="s">
        <v>87</v>
      </c>
      <c r="AG18" s="86"/>
      <c r="AH18" s="87"/>
      <c r="AI18" s="87"/>
      <c r="AJ18" s="87"/>
      <c r="AK18" s="87"/>
      <c r="AL18" s="87">
        <v>4709.55</v>
      </c>
      <c r="AM18" s="87">
        <v>9565.7900000000009</v>
      </c>
      <c r="AN18" s="87">
        <v>-941.62</v>
      </c>
      <c r="AO18" s="87">
        <v>8144.95</v>
      </c>
      <c r="AP18" s="87">
        <v>6079.05</v>
      </c>
      <c r="AQ18" s="87">
        <v>4930.87</v>
      </c>
      <c r="AR18" s="87">
        <v>4937.05</v>
      </c>
      <c r="AS18" s="87">
        <v>4807.21</v>
      </c>
      <c r="AT18" s="87">
        <v>4995.72</v>
      </c>
      <c r="AU18" s="87">
        <v>6212.36</v>
      </c>
      <c r="AV18" s="87">
        <v>5047.13</v>
      </c>
      <c r="AW18" s="87">
        <v>5522.27</v>
      </c>
      <c r="AX18" s="87"/>
      <c r="AY18" s="88">
        <f t="shared" si="5"/>
        <v>64010.33</v>
      </c>
      <c r="AZ18" s="88">
        <v>40000</v>
      </c>
      <c r="BA18" s="88">
        <v>50000</v>
      </c>
      <c r="BB18" s="89"/>
    </row>
    <row r="19" spans="1:54" x14ac:dyDescent="0.3">
      <c r="A19" s="50"/>
      <c r="B19" s="50"/>
      <c r="C19" s="50"/>
      <c r="D19" s="50"/>
      <c r="E19" s="50"/>
      <c r="F19" s="50" t="s">
        <v>88</v>
      </c>
      <c r="G19" s="50"/>
      <c r="H19" s="51">
        <v>0</v>
      </c>
      <c r="I19" s="51">
        <v>0</v>
      </c>
      <c r="J19" s="51">
        <v>526.76</v>
      </c>
      <c r="K19" s="51">
        <v>95.47</v>
      </c>
      <c r="L19" s="51">
        <v>0</v>
      </c>
      <c r="M19" s="51">
        <v>432.49</v>
      </c>
      <c r="N19" s="51">
        <v>60.53</v>
      </c>
      <c r="O19" s="51">
        <v>0</v>
      </c>
      <c r="P19" s="51">
        <v>579.15</v>
      </c>
      <c r="Q19" s="51">
        <v>26.9</v>
      </c>
      <c r="R19" s="51">
        <v>0</v>
      </c>
      <c r="S19" s="51">
        <v>0</v>
      </c>
      <c r="T19" s="51"/>
      <c r="U19" s="51">
        <f t="shared" si="4"/>
        <v>1721.3</v>
      </c>
      <c r="V19" s="67">
        <v>10000</v>
      </c>
      <c r="W19" s="67">
        <v>5000</v>
      </c>
      <c r="AB19" s="86"/>
      <c r="AC19" s="86"/>
      <c r="AD19" s="86"/>
      <c r="AE19" s="86"/>
      <c r="AF19" s="86" t="s">
        <v>88</v>
      </c>
      <c r="AG19" s="86"/>
      <c r="AH19" s="87"/>
      <c r="AI19" s="87"/>
      <c r="AJ19" s="87"/>
      <c r="AK19" s="87"/>
      <c r="AL19" s="87">
        <v>0</v>
      </c>
      <c r="AM19" s="87">
        <v>0</v>
      </c>
      <c r="AN19" s="87">
        <v>2382.91</v>
      </c>
      <c r="AO19" s="87">
        <v>164.98</v>
      </c>
      <c r="AP19" s="87">
        <v>0</v>
      </c>
      <c r="AQ19" s="87">
        <v>1779.4</v>
      </c>
      <c r="AR19" s="87">
        <v>208.6</v>
      </c>
      <c r="AS19" s="87">
        <v>0</v>
      </c>
      <c r="AT19" s="87">
        <v>1194.3699999999999</v>
      </c>
      <c r="AU19" s="87">
        <v>83.37</v>
      </c>
      <c r="AV19" s="87">
        <v>0</v>
      </c>
      <c r="AW19" s="87">
        <v>5126.62</v>
      </c>
      <c r="AX19" s="87"/>
      <c r="AY19" s="88">
        <f t="shared" si="5"/>
        <v>10940.25</v>
      </c>
      <c r="AZ19" s="88">
        <v>13000</v>
      </c>
      <c r="BA19" s="88">
        <v>10000</v>
      </c>
      <c r="BB19" s="89" t="s">
        <v>247</v>
      </c>
    </row>
    <row r="20" spans="1:54" x14ac:dyDescent="0.3">
      <c r="A20" s="50"/>
      <c r="B20" s="50"/>
      <c r="C20" s="50"/>
      <c r="D20" s="50"/>
      <c r="E20" s="50"/>
      <c r="F20" s="50" t="s">
        <v>89</v>
      </c>
      <c r="G20" s="50"/>
      <c r="H20" s="51">
        <v>0</v>
      </c>
      <c r="I20" s="51">
        <v>0</v>
      </c>
      <c r="J20" s="51">
        <v>28.45</v>
      </c>
      <c r="K20" s="51">
        <v>5.08</v>
      </c>
      <c r="L20" s="51">
        <v>0</v>
      </c>
      <c r="M20" s="51">
        <v>23.02</v>
      </c>
      <c r="N20" s="51">
        <v>5.04</v>
      </c>
      <c r="O20" s="51">
        <v>0</v>
      </c>
      <c r="P20" s="51">
        <v>48.23</v>
      </c>
      <c r="Q20" s="51">
        <v>2.2000000000000002</v>
      </c>
      <c r="R20" s="51">
        <v>0</v>
      </c>
      <c r="S20" s="51">
        <v>0</v>
      </c>
      <c r="T20" s="51"/>
      <c r="U20" s="51">
        <f t="shared" si="4"/>
        <v>112.02</v>
      </c>
      <c r="V20" s="67">
        <v>1000</v>
      </c>
      <c r="W20" s="67">
        <v>100</v>
      </c>
      <c r="AB20" s="86"/>
      <c r="AC20" s="86"/>
      <c r="AD20" s="86"/>
      <c r="AE20" s="86"/>
      <c r="AF20" s="86" t="s">
        <v>89</v>
      </c>
      <c r="AG20" s="86"/>
      <c r="AH20" s="87"/>
      <c r="AI20" s="87"/>
      <c r="AJ20" s="87"/>
      <c r="AK20" s="87"/>
      <c r="AL20" s="87">
        <v>-854</v>
      </c>
      <c r="AM20" s="87">
        <v>0</v>
      </c>
      <c r="AN20" s="87">
        <v>541.74</v>
      </c>
      <c r="AO20" s="87">
        <v>38.130000000000003</v>
      </c>
      <c r="AP20" s="87">
        <v>0</v>
      </c>
      <c r="AQ20" s="87">
        <v>411.31</v>
      </c>
      <c r="AR20" s="87">
        <v>53.48</v>
      </c>
      <c r="AS20" s="87">
        <v>0</v>
      </c>
      <c r="AT20" s="87">
        <v>306.22000000000003</v>
      </c>
      <c r="AU20" s="87">
        <v>19.61</v>
      </c>
      <c r="AV20" s="87">
        <v>0</v>
      </c>
      <c r="AW20" s="87">
        <v>816.59</v>
      </c>
      <c r="AX20" s="87"/>
      <c r="AY20" s="88">
        <f t="shared" si="5"/>
        <v>1333.08</v>
      </c>
      <c r="AZ20" s="88">
        <v>3000</v>
      </c>
      <c r="BA20" s="88">
        <v>1000</v>
      </c>
      <c r="BB20" s="89" t="s">
        <v>247</v>
      </c>
    </row>
    <row r="21" spans="1:54" ht="15" thickBot="1" x14ac:dyDescent="0.35">
      <c r="A21" s="50"/>
      <c r="B21" s="50"/>
      <c r="C21" s="50"/>
      <c r="D21" s="50"/>
      <c r="E21" s="50"/>
      <c r="F21" s="50" t="s">
        <v>90</v>
      </c>
      <c r="G21" s="50"/>
      <c r="H21" s="52">
        <v>0</v>
      </c>
      <c r="I21" s="52">
        <v>0</v>
      </c>
      <c r="J21" s="52">
        <v>1831.67</v>
      </c>
      <c r="K21" s="52">
        <v>323.87</v>
      </c>
      <c r="L21" s="52">
        <v>0</v>
      </c>
      <c r="M21" s="52">
        <v>1467.17</v>
      </c>
      <c r="N21" s="52">
        <v>200.19</v>
      </c>
      <c r="O21" s="52">
        <v>0</v>
      </c>
      <c r="P21" s="52">
        <v>0</v>
      </c>
      <c r="Q21" s="52">
        <v>65.45</v>
      </c>
      <c r="R21" s="52">
        <v>0</v>
      </c>
      <c r="S21" s="52">
        <v>2276.58</v>
      </c>
      <c r="T21" s="52"/>
      <c r="U21" s="52">
        <f t="shared" si="4"/>
        <v>6164.93</v>
      </c>
      <c r="V21" s="69">
        <v>20000</v>
      </c>
      <c r="W21" s="69">
        <v>10000</v>
      </c>
      <c r="X21" s="68" t="s">
        <v>291</v>
      </c>
      <c r="AB21" s="86"/>
      <c r="AC21" s="86"/>
      <c r="AD21" s="86"/>
      <c r="AE21" s="86" t="s">
        <v>91</v>
      </c>
      <c r="AF21" s="86" t="s">
        <v>90</v>
      </c>
      <c r="AG21" s="86"/>
      <c r="AH21" s="90"/>
      <c r="AI21" s="90"/>
      <c r="AJ21" s="90"/>
      <c r="AK21" s="90"/>
      <c r="AL21" s="90">
        <v>-126</v>
      </c>
      <c r="AM21" s="90">
        <v>0</v>
      </c>
      <c r="AN21" s="90">
        <v>3663.49</v>
      </c>
      <c r="AO21" s="90">
        <v>240.94</v>
      </c>
      <c r="AP21" s="90">
        <v>0</v>
      </c>
      <c r="AQ21" s="90">
        <v>2598.63</v>
      </c>
      <c r="AR21" s="90">
        <v>304.14999999999998</v>
      </c>
      <c r="AS21" s="90">
        <v>0</v>
      </c>
      <c r="AT21" s="90">
        <v>1741.43</v>
      </c>
      <c r="AU21" s="90">
        <v>99.78</v>
      </c>
      <c r="AV21" s="90">
        <v>0</v>
      </c>
      <c r="AW21" s="90">
        <v>6128.28</v>
      </c>
      <c r="AX21" s="90"/>
      <c r="AY21" s="91">
        <f t="shared" si="5"/>
        <v>14650.7</v>
      </c>
      <c r="AZ21" s="91">
        <v>30000</v>
      </c>
      <c r="BA21" s="91">
        <v>20000</v>
      </c>
      <c r="BB21" s="92" t="s">
        <v>247</v>
      </c>
    </row>
    <row r="22" spans="1:54" x14ac:dyDescent="0.3">
      <c r="A22" s="50"/>
      <c r="B22" s="50"/>
      <c r="C22" s="50"/>
      <c r="D22" s="50"/>
      <c r="E22" s="50" t="s">
        <v>91</v>
      </c>
      <c r="F22" s="50"/>
      <c r="G22" s="50"/>
      <c r="H22" s="51">
        <f t="shared" ref="H22:P22" si="6">ROUND(SUM(H16:H21),5)</f>
        <v>17045.14</v>
      </c>
      <c r="I22" s="51">
        <f t="shared" si="6"/>
        <v>6115.34</v>
      </c>
      <c r="J22" s="51">
        <f t="shared" si="6"/>
        <v>8368.85</v>
      </c>
      <c r="K22" s="51">
        <f t="shared" si="6"/>
        <v>5892.78</v>
      </c>
      <c r="L22" s="51">
        <f t="shared" si="6"/>
        <v>7065.59</v>
      </c>
      <c r="M22" s="51">
        <f t="shared" si="6"/>
        <v>8252.43</v>
      </c>
      <c r="N22" s="51">
        <f t="shared" si="6"/>
        <v>5916.23</v>
      </c>
      <c r="O22" s="51">
        <f t="shared" si="6"/>
        <v>6726.72</v>
      </c>
      <c r="P22" s="51">
        <f t="shared" si="6"/>
        <v>9705.61</v>
      </c>
      <c r="Q22" s="51">
        <f>ROUND(SUM(Q16:Q21),5)</f>
        <v>4637.8</v>
      </c>
      <c r="R22" s="51">
        <f>ROUND(SUM(R16:R21),5)</f>
        <v>7854.37</v>
      </c>
      <c r="S22" s="51">
        <f>ROUND(SUM(S16:S21),5)</f>
        <v>2708.62</v>
      </c>
      <c r="T22" s="51"/>
      <c r="U22" s="51">
        <f t="shared" si="4"/>
        <v>90289.48</v>
      </c>
      <c r="V22" s="51">
        <f>ROUND(SUM(V16:V21),5)</f>
        <v>91000</v>
      </c>
      <c r="W22" s="51">
        <f>ROUND(SUM(W16:W21),5)</f>
        <v>89000</v>
      </c>
      <c r="AB22" s="86"/>
      <c r="AC22" s="86"/>
      <c r="AD22" s="86"/>
      <c r="AE22" s="86" t="s">
        <v>92</v>
      </c>
      <c r="AF22" s="86"/>
      <c r="AG22" s="86"/>
      <c r="AH22" s="87"/>
      <c r="AI22" s="87"/>
      <c r="AJ22" s="87"/>
      <c r="AK22" s="87"/>
      <c r="AL22" s="87">
        <f t="shared" ref="AL22:AW22" si="7">ROUND(SUM(AL16:AL21),5)</f>
        <v>4333.29</v>
      </c>
      <c r="AM22" s="87">
        <f t="shared" si="7"/>
        <v>10202.26</v>
      </c>
      <c r="AN22" s="87">
        <f t="shared" si="7"/>
        <v>6196.82</v>
      </c>
      <c r="AO22" s="87">
        <f t="shared" si="7"/>
        <v>9101.92</v>
      </c>
      <c r="AP22" s="87">
        <f t="shared" si="7"/>
        <v>6584.08</v>
      </c>
      <c r="AQ22" s="87">
        <f t="shared" si="7"/>
        <v>10172.540000000001</v>
      </c>
      <c r="AR22" s="87">
        <f t="shared" si="7"/>
        <v>12817.65</v>
      </c>
      <c r="AS22" s="87">
        <f t="shared" si="7"/>
        <v>5227.71</v>
      </c>
      <c r="AT22" s="87">
        <f t="shared" si="7"/>
        <v>8615.89</v>
      </c>
      <c r="AU22" s="87">
        <f t="shared" si="7"/>
        <v>6797.1</v>
      </c>
      <c r="AV22" s="87">
        <f t="shared" si="7"/>
        <v>6002</v>
      </c>
      <c r="AW22" s="87">
        <f t="shared" si="7"/>
        <v>18246.419999999998</v>
      </c>
      <c r="AX22" s="87"/>
      <c r="AY22" s="88">
        <f t="shared" si="5"/>
        <v>104297.68</v>
      </c>
      <c r="AZ22" s="88">
        <f>ROUND(SUM(AZ16:AZ21),5)</f>
        <v>90000</v>
      </c>
      <c r="BA22" s="88">
        <f>ROUND(SUM(BA16:BA21),5)</f>
        <v>91000</v>
      </c>
      <c r="BB22" s="89"/>
    </row>
    <row r="23" spans="1:54" x14ac:dyDescent="0.3">
      <c r="A23" s="50"/>
      <c r="B23" s="50"/>
      <c r="C23" s="50"/>
      <c r="D23" s="50"/>
      <c r="E23" s="50" t="s">
        <v>92</v>
      </c>
      <c r="F23" s="50"/>
      <c r="G23" s="50"/>
      <c r="H23" s="51"/>
      <c r="I23" s="51"/>
      <c r="J23" s="51"/>
      <c r="K23" s="51"/>
      <c r="L23" s="51"/>
      <c r="M23" s="51"/>
      <c r="N23" s="51"/>
      <c r="O23" s="51"/>
      <c r="P23" s="51"/>
      <c r="Q23" s="51"/>
      <c r="R23" s="51"/>
      <c r="S23" s="51"/>
      <c r="T23" s="51"/>
      <c r="U23" s="51"/>
      <c r="V23" s="51"/>
      <c r="W23" s="51"/>
      <c r="AB23" s="86"/>
      <c r="AC23" s="86"/>
      <c r="AD23" s="86"/>
      <c r="AE23" s="86"/>
      <c r="AF23" s="86"/>
      <c r="AG23" s="86"/>
      <c r="AH23" s="87"/>
      <c r="AI23" s="87"/>
      <c r="AJ23" s="87"/>
      <c r="AK23" s="87"/>
      <c r="AL23" s="87"/>
      <c r="AM23" s="87"/>
      <c r="AN23" s="87"/>
      <c r="AO23" s="87"/>
      <c r="AP23" s="87"/>
      <c r="AQ23" s="87"/>
      <c r="AR23" s="87"/>
      <c r="AS23" s="87"/>
      <c r="AT23" s="87"/>
      <c r="AU23" s="87"/>
      <c r="AV23" s="87"/>
      <c r="AW23" s="87"/>
      <c r="AX23" s="87"/>
      <c r="AY23" s="88"/>
      <c r="AZ23" s="88"/>
      <c r="BA23" s="88"/>
      <c r="BB23" s="89"/>
    </row>
    <row r="24" spans="1:54" x14ac:dyDescent="0.3">
      <c r="A24" s="50"/>
      <c r="B24" s="50"/>
      <c r="C24" s="50"/>
      <c r="D24" s="50"/>
      <c r="E24" s="50"/>
      <c r="F24" s="50" t="s">
        <v>93</v>
      </c>
      <c r="G24" s="50"/>
      <c r="H24" s="51">
        <v>13100</v>
      </c>
      <c r="I24" s="51">
        <v>5230</v>
      </c>
      <c r="J24" s="51">
        <v>30592</v>
      </c>
      <c r="K24" s="51">
        <v>22305</v>
      </c>
      <c r="L24" s="51">
        <v>6000</v>
      </c>
      <c r="M24" s="51">
        <v>8400</v>
      </c>
      <c r="N24" s="51">
        <v>14960</v>
      </c>
      <c r="O24" s="51">
        <v>23490</v>
      </c>
      <c r="P24" s="51">
        <v>22920</v>
      </c>
      <c r="Q24" s="51">
        <v>9150</v>
      </c>
      <c r="R24" s="51">
        <v>850</v>
      </c>
      <c r="S24" s="51">
        <f>12370.66-7000</f>
        <v>5370.66</v>
      </c>
      <c r="T24" s="51"/>
      <c r="U24" s="51">
        <f t="shared" ref="U24:U35" si="8">ROUND(SUM(H24:T24),5)</f>
        <v>162367.66</v>
      </c>
      <c r="V24" s="67">
        <v>165000</v>
      </c>
      <c r="W24" s="67">
        <f>165000-20000</f>
        <v>145000</v>
      </c>
      <c r="AB24" s="86"/>
      <c r="AC24" s="86"/>
      <c r="AD24" s="86"/>
      <c r="AE24" s="86"/>
      <c r="AF24" s="86" t="s">
        <v>93</v>
      </c>
      <c r="AG24" s="86"/>
      <c r="AH24" s="87"/>
      <c r="AI24" s="87"/>
      <c r="AJ24" s="87"/>
      <c r="AK24" s="87"/>
      <c r="AL24" s="87">
        <v>8225</v>
      </c>
      <c r="AM24" s="87">
        <v>10866.67</v>
      </c>
      <c r="AN24" s="87">
        <v>9500</v>
      </c>
      <c r="AO24" s="87">
        <v>25066.67</v>
      </c>
      <c r="AP24" s="87">
        <v>7800</v>
      </c>
      <c r="AQ24" s="87">
        <v>20950</v>
      </c>
      <c r="AR24" s="87">
        <v>19000</v>
      </c>
      <c r="AS24" s="87">
        <v>24450</v>
      </c>
      <c r="AT24" s="87">
        <v>22500</v>
      </c>
      <c r="AU24" s="87">
        <v>12325</v>
      </c>
      <c r="AV24" s="87">
        <v>5000</v>
      </c>
      <c r="AW24" s="87">
        <v>10643</v>
      </c>
      <c r="AX24" s="87"/>
      <c r="AY24" s="88">
        <f t="shared" ref="AY24:AY35" si="9">ROUND(SUM(AH24:AX24),5)</f>
        <v>176326.34</v>
      </c>
      <c r="AZ24" s="88">
        <v>120000</v>
      </c>
      <c r="BA24" s="88">
        <v>165000</v>
      </c>
      <c r="BB24" s="89" t="s">
        <v>247</v>
      </c>
    </row>
    <row r="25" spans="1:54" x14ac:dyDescent="0.3">
      <c r="A25" s="50"/>
      <c r="B25" s="50"/>
      <c r="C25" s="50"/>
      <c r="D25" s="50"/>
      <c r="E25" s="50"/>
      <c r="F25" s="50" t="s">
        <v>94</v>
      </c>
      <c r="G25" s="50"/>
      <c r="H25" s="51">
        <v>3300</v>
      </c>
      <c r="I25" s="51">
        <v>500</v>
      </c>
      <c r="J25" s="51">
        <v>3000</v>
      </c>
      <c r="K25" s="51">
        <v>1250</v>
      </c>
      <c r="L25" s="51">
        <v>1250</v>
      </c>
      <c r="M25" s="51">
        <v>1500</v>
      </c>
      <c r="N25" s="51">
        <v>1700</v>
      </c>
      <c r="O25" s="51">
        <v>1750</v>
      </c>
      <c r="P25" s="51">
        <v>1860</v>
      </c>
      <c r="Q25" s="51">
        <v>1800</v>
      </c>
      <c r="R25" s="51">
        <v>250</v>
      </c>
      <c r="S25" s="51">
        <v>1650</v>
      </c>
      <c r="T25" s="51"/>
      <c r="U25" s="51">
        <f t="shared" si="8"/>
        <v>19810</v>
      </c>
      <c r="V25" s="67">
        <v>18000</v>
      </c>
      <c r="W25" s="67">
        <v>18000</v>
      </c>
      <c r="AB25" s="86"/>
      <c r="AC25" s="86"/>
      <c r="AD25" s="86"/>
      <c r="AE25" s="86"/>
      <c r="AF25" s="86" t="s">
        <v>94</v>
      </c>
      <c r="AG25" s="86"/>
      <c r="AH25" s="87"/>
      <c r="AI25" s="87"/>
      <c r="AJ25" s="87"/>
      <c r="AK25" s="87"/>
      <c r="AL25" s="87">
        <v>1200</v>
      </c>
      <c r="AM25" s="87">
        <v>1410</v>
      </c>
      <c r="AN25" s="87">
        <v>1250</v>
      </c>
      <c r="AO25" s="87">
        <v>2500</v>
      </c>
      <c r="AP25" s="87">
        <v>500</v>
      </c>
      <c r="AQ25" s="87">
        <v>2000</v>
      </c>
      <c r="AR25" s="87">
        <v>1250</v>
      </c>
      <c r="AS25" s="87">
        <v>1910</v>
      </c>
      <c r="AT25" s="87">
        <v>2500</v>
      </c>
      <c r="AU25" s="87">
        <v>1450</v>
      </c>
      <c r="AV25" s="87">
        <v>1250</v>
      </c>
      <c r="AW25" s="87">
        <v>750</v>
      </c>
      <c r="AX25" s="87"/>
      <c r="AY25" s="88">
        <f t="shared" si="9"/>
        <v>17970</v>
      </c>
      <c r="AZ25" s="88">
        <v>12000</v>
      </c>
      <c r="BA25" s="88">
        <v>18000</v>
      </c>
      <c r="BB25" s="89"/>
    </row>
    <row r="26" spans="1:54" x14ac:dyDescent="0.3">
      <c r="A26" s="50"/>
      <c r="B26" s="50"/>
      <c r="C26" s="50"/>
      <c r="D26" s="50"/>
      <c r="E26" s="50"/>
      <c r="F26" s="50" t="s">
        <v>230</v>
      </c>
      <c r="G26" s="50"/>
      <c r="H26" s="51">
        <v>0</v>
      </c>
      <c r="I26" s="51">
        <v>230</v>
      </c>
      <c r="J26" s="51">
        <v>892</v>
      </c>
      <c r="K26" s="51">
        <v>690</v>
      </c>
      <c r="L26" s="51">
        <v>0</v>
      </c>
      <c r="M26" s="51">
        <v>460</v>
      </c>
      <c r="N26" s="51">
        <v>460</v>
      </c>
      <c r="O26" s="51">
        <v>690</v>
      </c>
      <c r="P26" s="51">
        <v>920</v>
      </c>
      <c r="Q26" s="51">
        <v>230</v>
      </c>
      <c r="R26" s="51">
        <v>0</v>
      </c>
      <c r="S26" s="51">
        <v>455</v>
      </c>
      <c r="T26" s="51"/>
      <c r="U26" s="51">
        <f t="shared" si="8"/>
        <v>5027</v>
      </c>
      <c r="V26" s="67">
        <v>3000</v>
      </c>
      <c r="W26" s="67">
        <v>3000</v>
      </c>
      <c r="AB26" s="86"/>
      <c r="AC26" s="86"/>
      <c r="AD26" s="86"/>
      <c r="AE26" s="86"/>
      <c r="AF26" s="86" t="s">
        <v>230</v>
      </c>
      <c r="AG26" s="86"/>
      <c r="AH26" s="87"/>
      <c r="AI26" s="87"/>
      <c r="AJ26" s="87"/>
      <c r="AK26" s="87"/>
      <c r="AL26" s="87">
        <v>0</v>
      </c>
      <c r="AM26" s="87">
        <v>0</v>
      </c>
      <c r="AN26" s="87">
        <v>0</v>
      </c>
      <c r="AO26" s="87">
        <v>0</v>
      </c>
      <c r="AP26" s="87">
        <v>0</v>
      </c>
      <c r="AQ26" s="87">
        <v>450</v>
      </c>
      <c r="AR26" s="87">
        <v>0</v>
      </c>
      <c r="AS26" s="87">
        <v>450</v>
      </c>
      <c r="AT26" s="87">
        <v>0</v>
      </c>
      <c r="AU26" s="87">
        <v>225</v>
      </c>
      <c r="AV26" s="87">
        <v>0</v>
      </c>
      <c r="AW26" s="87">
        <v>0</v>
      </c>
      <c r="AX26" s="87"/>
      <c r="AY26" s="88">
        <f t="shared" si="9"/>
        <v>1125</v>
      </c>
      <c r="AZ26" s="88">
        <v>0</v>
      </c>
      <c r="BA26" s="88">
        <v>3000</v>
      </c>
      <c r="BB26" s="89"/>
    </row>
    <row r="27" spans="1:54" x14ac:dyDescent="0.3">
      <c r="A27" s="50"/>
      <c r="B27" s="50"/>
      <c r="C27" s="50"/>
      <c r="D27" s="50"/>
      <c r="E27" s="50"/>
      <c r="F27" s="50" t="s">
        <v>95</v>
      </c>
      <c r="G27" s="50"/>
      <c r="H27" s="51">
        <v>3750</v>
      </c>
      <c r="I27" s="51">
        <v>1950</v>
      </c>
      <c r="J27" s="51">
        <v>8750</v>
      </c>
      <c r="K27" s="51">
        <v>4300</v>
      </c>
      <c r="L27" s="51">
        <v>1800</v>
      </c>
      <c r="M27" s="51">
        <v>4700</v>
      </c>
      <c r="N27" s="51">
        <v>5300</v>
      </c>
      <c r="O27" s="51">
        <v>3600</v>
      </c>
      <c r="P27" s="51">
        <v>7600</v>
      </c>
      <c r="Q27" s="51">
        <v>6250</v>
      </c>
      <c r="R27" s="51">
        <v>1000</v>
      </c>
      <c r="S27" s="51">
        <f>6100-4000</f>
        <v>2100</v>
      </c>
      <c r="T27" s="51"/>
      <c r="U27" s="51">
        <f t="shared" si="8"/>
        <v>51100</v>
      </c>
      <c r="V27" s="67">
        <v>47000</v>
      </c>
      <c r="W27" s="67">
        <f>47000-10000</f>
        <v>37000</v>
      </c>
      <c r="AB27" s="86"/>
      <c r="AC27" s="86"/>
      <c r="AD27" s="86"/>
      <c r="AE27" s="86"/>
      <c r="AF27" s="86" t="s">
        <v>95</v>
      </c>
      <c r="AG27" s="86"/>
      <c r="AH27" s="87"/>
      <c r="AI27" s="87"/>
      <c r="AJ27" s="87"/>
      <c r="AK27" s="87"/>
      <c r="AL27" s="87">
        <v>3650</v>
      </c>
      <c r="AM27" s="87">
        <v>3250</v>
      </c>
      <c r="AN27" s="87">
        <v>2800</v>
      </c>
      <c r="AO27" s="87">
        <v>6100</v>
      </c>
      <c r="AP27" s="87">
        <v>100</v>
      </c>
      <c r="AQ27" s="87">
        <v>4900</v>
      </c>
      <c r="AR27" s="87">
        <v>3500</v>
      </c>
      <c r="AS27" s="87">
        <v>7650</v>
      </c>
      <c r="AT27" s="87">
        <v>8000</v>
      </c>
      <c r="AU27" s="87">
        <v>3700</v>
      </c>
      <c r="AV27" s="87">
        <v>5150</v>
      </c>
      <c r="AW27" s="87">
        <v>2550</v>
      </c>
      <c r="AX27" s="87"/>
      <c r="AY27" s="88">
        <f t="shared" si="9"/>
        <v>51350</v>
      </c>
      <c r="AZ27" s="88">
        <v>30000</v>
      </c>
      <c r="BA27" s="88">
        <v>47000</v>
      </c>
      <c r="BB27" s="89"/>
    </row>
    <row r="28" spans="1:54" x14ac:dyDescent="0.3">
      <c r="A28" s="50"/>
      <c r="B28" s="50"/>
      <c r="C28" s="50"/>
      <c r="D28" s="50"/>
      <c r="E28" s="50"/>
      <c r="F28" s="50" t="s">
        <v>96</v>
      </c>
      <c r="G28" s="50"/>
      <c r="H28" s="51">
        <v>20500</v>
      </c>
      <c r="I28" s="51">
        <v>3770</v>
      </c>
      <c r="J28" s="51">
        <v>21408</v>
      </c>
      <c r="K28" s="51">
        <v>-505</v>
      </c>
      <c r="L28" s="51">
        <v>10500</v>
      </c>
      <c r="M28" s="51">
        <v>6000</v>
      </c>
      <c r="N28" s="51">
        <v>10690</v>
      </c>
      <c r="O28" s="51">
        <v>-990</v>
      </c>
      <c r="P28" s="51">
        <v>13230</v>
      </c>
      <c r="Q28" s="51">
        <v>4000</v>
      </c>
      <c r="R28" s="51">
        <v>800</v>
      </c>
      <c r="S28" s="51">
        <f>9282-3737.66</f>
        <v>5544.34</v>
      </c>
      <c r="T28" s="51"/>
      <c r="U28" s="51">
        <f t="shared" si="8"/>
        <v>94947.34</v>
      </c>
      <c r="V28" s="67">
        <v>70000</v>
      </c>
      <c r="W28" s="67">
        <f>70000-13200</f>
        <v>56800</v>
      </c>
      <c r="AB28" s="86"/>
      <c r="AC28" s="86"/>
      <c r="AD28" s="86"/>
      <c r="AE28" s="86"/>
      <c r="AF28" s="86" t="s">
        <v>96</v>
      </c>
      <c r="AG28" s="86"/>
      <c r="AH28" s="87"/>
      <c r="AI28" s="87"/>
      <c r="AJ28" s="87"/>
      <c r="AK28" s="87"/>
      <c r="AL28" s="87">
        <v>2500</v>
      </c>
      <c r="AM28" s="87">
        <v>6083.33</v>
      </c>
      <c r="AN28" s="87">
        <v>16450</v>
      </c>
      <c r="AO28" s="87">
        <v>17583.330000000002</v>
      </c>
      <c r="AP28" s="87">
        <v>0</v>
      </c>
      <c r="AQ28" s="87">
        <v>3050</v>
      </c>
      <c r="AR28" s="87">
        <v>4000</v>
      </c>
      <c r="AS28" s="87">
        <v>9050</v>
      </c>
      <c r="AT28" s="87">
        <v>16650</v>
      </c>
      <c r="AU28" s="87">
        <v>2675</v>
      </c>
      <c r="AV28" s="87">
        <v>1725</v>
      </c>
      <c r="AW28" s="87">
        <v>5357</v>
      </c>
      <c r="AX28" s="87"/>
      <c r="AY28" s="88">
        <f t="shared" si="9"/>
        <v>85123.66</v>
      </c>
      <c r="AZ28" s="88">
        <v>67000</v>
      </c>
      <c r="BA28" s="88">
        <v>70000</v>
      </c>
      <c r="BB28" s="89"/>
    </row>
    <row r="29" spans="1:54" x14ac:dyDescent="0.3">
      <c r="A29" s="50"/>
      <c r="B29" s="50"/>
      <c r="C29" s="50"/>
      <c r="D29" s="50"/>
      <c r="E29" s="50"/>
      <c r="F29" s="50" t="s">
        <v>97</v>
      </c>
      <c r="G29" s="50"/>
      <c r="H29" s="51">
        <v>1100</v>
      </c>
      <c r="I29" s="51">
        <v>0</v>
      </c>
      <c r="J29" s="51">
        <v>4300</v>
      </c>
      <c r="K29" s="51">
        <v>7900</v>
      </c>
      <c r="L29" s="51">
        <v>0</v>
      </c>
      <c r="M29" s="51">
        <v>5400</v>
      </c>
      <c r="N29" s="51">
        <v>3600</v>
      </c>
      <c r="O29" s="51">
        <v>5200</v>
      </c>
      <c r="P29" s="51">
        <v>3600</v>
      </c>
      <c r="Q29" s="51">
        <v>2900</v>
      </c>
      <c r="R29" s="51">
        <v>0</v>
      </c>
      <c r="S29" s="51">
        <v>2700</v>
      </c>
      <c r="T29" s="51"/>
      <c r="U29" s="51">
        <f t="shared" si="8"/>
        <v>36700</v>
      </c>
      <c r="V29" s="67">
        <v>17000</v>
      </c>
      <c r="W29" s="67">
        <v>17000</v>
      </c>
      <c r="AB29" s="86"/>
      <c r="AC29" s="86"/>
      <c r="AD29" s="86"/>
      <c r="AE29" s="86"/>
      <c r="AF29" s="86" t="s">
        <v>97</v>
      </c>
      <c r="AG29" s="86"/>
      <c r="AH29" s="87"/>
      <c r="AI29" s="87"/>
      <c r="AJ29" s="87"/>
      <c r="AK29" s="87"/>
      <c r="AL29" s="87">
        <v>1500</v>
      </c>
      <c r="AM29" s="87">
        <v>0</v>
      </c>
      <c r="AN29" s="87">
        <v>1600</v>
      </c>
      <c r="AO29" s="87">
        <v>0</v>
      </c>
      <c r="AP29" s="87">
        <v>3000</v>
      </c>
      <c r="AQ29" s="87">
        <v>3100</v>
      </c>
      <c r="AR29" s="87">
        <v>0</v>
      </c>
      <c r="AS29" s="87">
        <v>3300</v>
      </c>
      <c r="AT29" s="87">
        <v>1500</v>
      </c>
      <c r="AU29" s="87">
        <v>3100</v>
      </c>
      <c r="AV29" s="87">
        <v>0</v>
      </c>
      <c r="AW29" s="87">
        <v>1500</v>
      </c>
      <c r="AX29" s="87"/>
      <c r="AY29" s="88">
        <f t="shared" si="9"/>
        <v>18600</v>
      </c>
      <c r="AZ29" s="88">
        <v>27000</v>
      </c>
      <c r="BA29" s="88">
        <v>17000</v>
      </c>
      <c r="BB29" s="89"/>
    </row>
    <row r="30" spans="1:54" x14ac:dyDescent="0.3">
      <c r="A30" s="50"/>
      <c r="B30" s="50"/>
      <c r="C30" s="50"/>
      <c r="D30" s="50"/>
      <c r="E30" s="50"/>
      <c r="F30" s="50" t="s">
        <v>198</v>
      </c>
      <c r="G30" s="50"/>
      <c r="H30" s="51">
        <v>0</v>
      </c>
      <c r="I30" s="51">
        <v>0</v>
      </c>
      <c r="J30" s="51">
        <v>0</v>
      </c>
      <c r="K30" s="51">
        <v>0</v>
      </c>
      <c r="L30" s="51">
        <v>0</v>
      </c>
      <c r="M30" s="51">
        <v>0</v>
      </c>
      <c r="N30" s="51">
        <v>0</v>
      </c>
      <c r="O30" s="51">
        <v>0</v>
      </c>
      <c r="P30" s="51">
        <v>0</v>
      </c>
      <c r="Q30" s="51">
        <v>300</v>
      </c>
      <c r="R30" s="51">
        <v>0</v>
      </c>
      <c r="S30" s="51">
        <v>0</v>
      </c>
      <c r="T30" s="51"/>
      <c r="U30" s="51">
        <f t="shared" si="8"/>
        <v>300</v>
      </c>
      <c r="V30" s="67">
        <v>300</v>
      </c>
      <c r="W30" s="67">
        <v>300</v>
      </c>
      <c r="AB30" s="86"/>
      <c r="AC30" s="86"/>
      <c r="AD30" s="86"/>
      <c r="AE30" s="86"/>
      <c r="AF30" s="86" t="s">
        <v>198</v>
      </c>
      <c r="AG30" s="86"/>
      <c r="AH30" s="87"/>
      <c r="AI30" s="87"/>
      <c r="AJ30" s="87"/>
      <c r="AK30" s="87"/>
      <c r="AL30" s="87">
        <v>0</v>
      </c>
      <c r="AM30" s="87">
        <v>0</v>
      </c>
      <c r="AN30" s="87">
        <v>0</v>
      </c>
      <c r="AO30" s="87">
        <v>0</v>
      </c>
      <c r="AP30" s="87">
        <v>300</v>
      </c>
      <c r="AQ30" s="87">
        <v>0</v>
      </c>
      <c r="AR30" s="87">
        <v>0</v>
      </c>
      <c r="AS30" s="87">
        <v>0</v>
      </c>
      <c r="AT30" s="87">
        <v>0</v>
      </c>
      <c r="AU30" s="87">
        <v>0</v>
      </c>
      <c r="AV30" s="87">
        <v>0</v>
      </c>
      <c r="AW30" s="87">
        <v>0</v>
      </c>
      <c r="AX30" s="87"/>
      <c r="AY30" s="88">
        <f t="shared" si="9"/>
        <v>300</v>
      </c>
      <c r="AZ30" s="88">
        <v>300</v>
      </c>
      <c r="BA30" s="88">
        <v>300</v>
      </c>
      <c r="BB30" s="89"/>
    </row>
    <row r="31" spans="1:54" ht="13.8" customHeight="1" x14ac:dyDescent="0.3">
      <c r="A31" s="50"/>
      <c r="B31" s="50"/>
      <c r="C31" s="50"/>
      <c r="D31" s="50"/>
      <c r="E31" s="50"/>
      <c r="F31" s="50" t="s">
        <v>231</v>
      </c>
      <c r="G31" s="50"/>
      <c r="H31" s="51">
        <v>1000</v>
      </c>
      <c r="I31" s="51">
        <v>500</v>
      </c>
      <c r="J31" s="51">
        <v>6500</v>
      </c>
      <c r="K31" s="51">
        <v>3000</v>
      </c>
      <c r="L31" s="51">
        <v>1000</v>
      </c>
      <c r="M31" s="51">
        <v>3000</v>
      </c>
      <c r="N31" s="51">
        <v>3500</v>
      </c>
      <c r="O31" s="51">
        <v>4000</v>
      </c>
      <c r="P31" s="51">
        <v>5000</v>
      </c>
      <c r="Q31" s="51">
        <v>4000</v>
      </c>
      <c r="R31" s="51">
        <v>0</v>
      </c>
      <c r="S31" s="51">
        <v>500</v>
      </c>
      <c r="T31" s="51"/>
      <c r="U31" s="51">
        <f t="shared" si="8"/>
        <v>32000</v>
      </c>
      <c r="V31" s="67">
        <v>6500</v>
      </c>
      <c r="W31" s="67">
        <v>16000</v>
      </c>
      <c r="X31" s="68" t="s">
        <v>309</v>
      </c>
      <c r="AB31" s="86"/>
      <c r="AC31" s="86"/>
      <c r="AD31" s="86"/>
      <c r="AE31" s="86"/>
      <c r="AF31" s="86" t="s">
        <v>231</v>
      </c>
      <c r="AG31" s="86"/>
      <c r="AH31" s="87"/>
      <c r="AI31" s="87"/>
      <c r="AJ31" s="87"/>
      <c r="AK31" s="87"/>
      <c r="AL31" s="87">
        <v>0</v>
      </c>
      <c r="AM31" s="87">
        <v>0</v>
      </c>
      <c r="AN31" s="87">
        <v>0</v>
      </c>
      <c r="AO31" s="87">
        <v>-500</v>
      </c>
      <c r="AP31" s="87">
        <v>500</v>
      </c>
      <c r="AQ31" s="87">
        <v>2000</v>
      </c>
      <c r="AR31" s="87">
        <v>1500</v>
      </c>
      <c r="AS31" s="87">
        <v>0</v>
      </c>
      <c r="AT31" s="87">
        <v>0</v>
      </c>
      <c r="AU31" s="87">
        <v>0</v>
      </c>
      <c r="AV31" s="87">
        <v>0</v>
      </c>
      <c r="AW31" s="87">
        <v>0</v>
      </c>
      <c r="AX31" s="87"/>
      <c r="AY31" s="88">
        <f t="shared" si="9"/>
        <v>3500</v>
      </c>
      <c r="AZ31" s="88">
        <v>0</v>
      </c>
      <c r="BA31" s="88">
        <v>6500</v>
      </c>
      <c r="BB31" s="89" t="s">
        <v>257</v>
      </c>
    </row>
    <row r="32" spans="1:54" x14ac:dyDescent="0.3">
      <c r="A32" s="50"/>
      <c r="B32" s="50"/>
      <c r="C32" s="50"/>
      <c r="D32" s="50"/>
      <c r="E32" s="50"/>
      <c r="F32" s="50" t="s">
        <v>98</v>
      </c>
      <c r="G32" s="50"/>
      <c r="H32" s="51">
        <v>1480</v>
      </c>
      <c r="I32" s="51">
        <v>980</v>
      </c>
      <c r="J32" s="51">
        <v>2360</v>
      </c>
      <c r="K32" s="51">
        <v>1965</v>
      </c>
      <c r="L32" s="51">
        <v>375</v>
      </c>
      <c r="M32" s="51">
        <v>2855</v>
      </c>
      <c r="N32" s="51">
        <v>1860</v>
      </c>
      <c r="O32" s="51">
        <v>880</v>
      </c>
      <c r="P32" s="51">
        <v>4003</v>
      </c>
      <c r="Q32" s="51">
        <v>2025</v>
      </c>
      <c r="R32" s="51">
        <v>0</v>
      </c>
      <c r="S32" s="51">
        <v>1680</v>
      </c>
      <c r="T32" s="51"/>
      <c r="U32" s="51">
        <f t="shared" si="8"/>
        <v>20463</v>
      </c>
      <c r="V32" s="67">
        <v>16000</v>
      </c>
      <c r="W32" s="67">
        <v>16000</v>
      </c>
      <c r="AB32" s="86"/>
      <c r="AC32" s="86"/>
      <c r="AD32" s="86"/>
      <c r="AE32" s="86"/>
      <c r="AF32" s="86" t="s">
        <v>98</v>
      </c>
      <c r="AG32" s="86"/>
      <c r="AH32" s="87"/>
      <c r="AI32" s="87"/>
      <c r="AJ32" s="87"/>
      <c r="AK32" s="87"/>
      <c r="AL32" s="87">
        <v>1750</v>
      </c>
      <c r="AM32" s="87">
        <v>950</v>
      </c>
      <c r="AN32" s="87">
        <v>785</v>
      </c>
      <c r="AO32" s="87">
        <v>1550</v>
      </c>
      <c r="AP32" s="87">
        <v>500</v>
      </c>
      <c r="AQ32" s="87">
        <v>1320</v>
      </c>
      <c r="AR32" s="87">
        <v>1330</v>
      </c>
      <c r="AS32" s="87">
        <v>4113.1499999999996</v>
      </c>
      <c r="AT32" s="87">
        <v>2765</v>
      </c>
      <c r="AU32" s="87">
        <v>985</v>
      </c>
      <c r="AV32" s="87">
        <v>3010</v>
      </c>
      <c r="AW32" s="87">
        <v>300</v>
      </c>
      <c r="AX32" s="87"/>
      <c r="AY32" s="88">
        <f t="shared" si="9"/>
        <v>19358.150000000001</v>
      </c>
      <c r="AZ32" s="88">
        <v>12000</v>
      </c>
      <c r="BA32" s="88">
        <v>16000</v>
      </c>
      <c r="BB32" s="89"/>
    </row>
    <row r="33" spans="1:54" ht="15" thickBot="1" x14ac:dyDescent="0.35">
      <c r="A33" s="50"/>
      <c r="B33" s="50"/>
      <c r="C33" s="50"/>
      <c r="D33" s="50"/>
      <c r="E33" s="50"/>
      <c r="F33" s="50" t="s">
        <v>99</v>
      </c>
      <c r="G33" s="50"/>
      <c r="H33" s="51">
        <v>0</v>
      </c>
      <c r="I33" s="51">
        <v>0</v>
      </c>
      <c r="J33" s="51">
        <v>88.5</v>
      </c>
      <c r="K33" s="51">
        <v>15</v>
      </c>
      <c r="L33" s="51">
        <v>0</v>
      </c>
      <c r="M33" s="51">
        <v>0</v>
      </c>
      <c r="N33" s="51">
        <v>0</v>
      </c>
      <c r="O33" s="51">
        <v>0</v>
      </c>
      <c r="P33" s="51">
        <v>0</v>
      </c>
      <c r="Q33" s="51">
        <v>0</v>
      </c>
      <c r="R33" s="51">
        <v>-150</v>
      </c>
      <c r="S33" s="51">
        <v>0</v>
      </c>
      <c r="T33" s="51"/>
      <c r="U33" s="51">
        <f t="shared" si="8"/>
        <v>-46.5</v>
      </c>
      <c r="V33" s="67">
        <v>400</v>
      </c>
      <c r="W33" s="67">
        <v>400</v>
      </c>
      <c r="AB33" s="86"/>
      <c r="AC33" s="86"/>
      <c r="AD33" s="86"/>
      <c r="AE33" s="86" t="s">
        <v>100</v>
      </c>
      <c r="AF33" s="86" t="s">
        <v>99</v>
      </c>
      <c r="AG33" s="86"/>
      <c r="AH33" s="87"/>
      <c r="AI33" s="87"/>
      <c r="AJ33" s="87"/>
      <c r="AK33" s="87"/>
      <c r="AL33" s="87">
        <v>0</v>
      </c>
      <c r="AM33" s="87">
        <v>0</v>
      </c>
      <c r="AN33" s="87">
        <v>0</v>
      </c>
      <c r="AO33" s="87">
        <v>0</v>
      </c>
      <c r="AP33" s="87">
        <v>0</v>
      </c>
      <c r="AQ33" s="87">
        <v>0</v>
      </c>
      <c r="AR33" s="87">
        <v>0</v>
      </c>
      <c r="AS33" s="87">
        <v>0</v>
      </c>
      <c r="AT33" s="87">
        <v>0</v>
      </c>
      <c r="AU33" s="87">
        <v>0</v>
      </c>
      <c r="AV33" s="87">
        <v>25</v>
      </c>
      <c r="AW33" s="87">
        <v>145.41999999999999</v>
      </c>
      <c r="AX33" s="87"/>
      <c r="AY33" s="88">
        <f t="shared" si="9"/>
        <v>170.42</v>
      </c>
      <c r="AZ33" s="88">
        <v>500</v>
      </c>
      <c r="BA33" s="88">
        <v>400</v>
      </c>
      <c r="BB33" s="89"/>
    </row>
    <row r="34" spans="1:54" ht="15" thickBot="1" x14ac:dyDescent="0.35">
      <c r="A34" s="50"/>
      <c r="B34" s="50"/>
      <c r="C34" s="50"/>
      <c r="D34" s="50"/>
      <c r="E34" s="50" t="s">
        <v>100</v>
      </c>
      <c r="F34" s="50"/>
      <c r="G34" s="50"/>
      <c r="H34" s="53">
        <f t="shared" ref="H34:P34" si="10">ROUND(SUM(H23:H33),5)</f>
        <v>44230</v>
      </c>
      <c r="I34" s="53">
        <f t="shared" si="10"/>
        <v>13160</v>
      </c>
      <c r="J34" s="53">
        <f t="shared" si="10"/>
        <v>77890.5</v>
      </c>
      <c r="K34" s="53">
        <f t="shared" si="10"/>
        <v>40920</v>
      </c>
      <c r="L34" s="53">
        <f t="shared" si="10"/>
        <v>20925</v>
      </c>
      <c r="M34" s="53">
        <f t="shared" si="10"/>
        <v>32315</v>
      </c>
      <c r="N34" s="53">
        <f t="shared" si="10"/>
        <v>42070</v>
      </c>
      <c r="O34" s="53">
        <f t="shared" si="10"/>
        <v>38620</v>
      </c>
      <c r="P34" s="53">
        <f t="shared" si="10"/>
        <v>59133</v>
      </c>
      <c r="Q34" s="53">
        <f>ROUND(SUM(Q23:Q33),5)</f>
        <v>30655</v>
      </c>
      <c r="R34" s="53">
        <f>ROUND(SUM(R23:R33),5)</f>
        <v>2750</v>
      </c>
      <c r="S34" s="53">
        <f>ROUND(SUM(S23:S33),5)</f>
        <v>20000</v>
      </c>
      <c r="T34" s="53" t="s">
        <v>307</v>
      </c>
      <c r="U34" s="53">
        <f t="shared" si="8"/>
        <v>422668.5</v>
      </c>
      <c r="V34" s="53">
        <f>ROUND(SUM(V23:V33),5)</f>
        <v>343200</v>
      </c>
      <c r="W34" s="53">
        <f>ROUND(SUM(W23:W33),5)</f>
        <v>309500</v>
      </c>
      <c r="AB34" s="86"/>
      <c r="AC34" s="86"/>
      <c r="AD34" s="86" t="s">
        <v>3</v>
      </c>
      <c r="AE34" s="86"/>
      <c r="AF34" s="86"/>
      <c r="AG34" s="86"/>
      <c r="AH34" s="93"/>
      <c r="AI34" s="93"/>
      <c r="AJ34" s="93"/>
      <c r="AK34" s="93"/>
      <c r="AL34" s="93">
        <f t="shared" ref="AL34:AW34" si="11">ROUND(SUM(AL23:AL33),5)</f>
        <v>18825</v>
      </c>
      <c r="AM34" s="93">
        <f t="shared" si="11"/>
        <v>22560</v>
      </c>
      <c r="AN34" s="93">
        <f t="shared" si="11"/>
        <v>32385</v>
      </c>
      <c r="AO34" s="93">
        <f t="shared" si="11"/>
        <v>52300</v>
      </c>
      <c r="AP34" s="93">
        <f t="shared" si="11"/>
        <v>12700</v>
      </c>
      <c r="AQ34" s="93">
        <f t="shared" si="11"/>
        <v>37770</v>
      </c>
      <c r="AR34" s="93">
        <f t="shared" si="11"/>
        <v>30580</v>
      </c>
      <c r="AS34" s="93">
        <f t="shared" si="11"/>
        <v>50923.15</v>
      </c>
      <c r="AT34" s="93">
        <f t="shared" si="11"/>
        <v>53915</v>
      </c>
      <c r="AU34" s="93">
        <f t="shared" si="11"/>
        <v>24460</v>
      </c>
      <c r="AV34" s="93">
        <f t="shared" si="11"/>
        <v>16160</v>
      </c>
      <c r="AW34" s="93">
        <f t="shared" si="11"/>
        <v>21245.42</v>
      </c>
      <c r="AX34" s="93"/>
      <c r="AY34" s="94">
        <f t="shared" si="9"/>
        <v>373823.57</v>
      </c>
      <c r="AZ34" s="94">
        <f>ROUND(SUM(AZ23:AZ33),5)</f>
        <v>268800</v>
      </c>
      <c r="BA34" s="94">
        <f>ROUND(SUM(BA23:BA33),5)</f>
        <v>343200</v>
      </c>
      <c r="BB34" s="95"/>
    </row>
    <row r="35" spans="1:54" x14ac:dyDescent="0.3">
      <c r="A35" s="50"/>
      <c r="B35" s="50"/>
      <c r="C35" s="50"/>
      <c r="D35" s="50" t="s">
        <v>3</v>
      </c>
      <c r="E35" s="50"/>
      <c r="F35" s="50"/>
      <c r="G35" s="50"/>
      <c r="H35" s="51">
        <f t="shared" ref="H35:P35" si="12">ROUND(H3+H15+H22+H34,5)</f>
        <v>61275.14</v>
      </c>
      <c r="I35" s="51">
        <f t="shared" si="12"/>
        <v>21077.040000000001</v>
      </c>
      <c r="J35" s="51">
        <f t="shared" si="12"/>
        <v>86259.35</v>
      </c>
      <c r="K35" s="51">
        <f t="shared" si="12"/>
        <v>85563.12</v>
      </c>
      <c r="L35" s="51">
        <f t="shared" si="12"/>
        <v>26431.9</v>
      </c>
      <c r="M35" s="51">
        <f t="shared" si="12"/>
        <v>297669.45</v>
      </c>
      <c r="N35" s="51">
        <f t="shared" si="12"/>
        <v>218782.29</v>
      </c>
      <c r="O35" s="51">
        <f t="shared" si="12"/>
        <v>59700.88</v>
      </c>
      <c r="P35" s="51">
        <f t="shared" si="12"/>
        <v>74424.84</v>
      </c>
      <c r="Q35" s="51">
        <f>ROUND(Q3+Q15+Q22+Q34,5)</f>
        <v>104610.76</v>
      </c>
      <c r="R35" s="51">
        <f>ROUND(R3+R15+R22+R34,5)</f>
        <v>275564.61</v>
      </c>
      <c r="S35" s="51">
        <f>ROUND(S3+S15+S22+S34,5)</f>
        <v>43652.36</v>
      </c>
      <c r="T35" s="51"/>
      <c r="U35" s="51">
        <f t="shared" si="8"/>
        <v>1355011.74</v>
      </c>
      <c r="V35" s="51">
        <f>ROUND(V3+V15+V22+V34,5)</f>
        <v>1201000</v>
      </c>
      <c r="W35" s="51">
        <f>ROUND(W3+W15+W22+W34,5)</f>
        <v>1198500</v>
      </c>
      <c r="AB35" s="86"/>
      <c r="AC35" s="86"/>
      <c r="AD35" s="86" t="s">
        <v>101</v>
      </c>
      <c r="AE35" s="86"/>
      <c r="AF35" s="86"/>
      <c r="AG35" s="86"/>
      <c r="AH35" s="87"/>
      <c r="AI35" s="87"/>
      <c r="AJ35" s="87"/>
      <c r="AK35" s="87"/>
      <c r="AL35" s="87">
        <f t="shared" ref="AL35:AW35" si="13">ROUND(AL3+AL15+AL22+AL34,5)</f>
        <v>19157.96</v>
      </c>
      <c r="AM35" s="87">
        <f t="shared" si="13"/>
        <v>32762.26</v>
      </c>
      <c r="AN35" s="87">
        <f t="shared" si="13"/>
        <v>38581.82</v>
      </c>
      <c r="AO35" s="87">
        <f t="shared" si="13"/>
        <v>91690.13</v>
      </c>
      <c r="AP35" s="87">
        <f t="shared" si="13"/>
        <v>19284.080000000002</v>
      </c>
      <c r="AQ35" s="87">
        <f t="shared" si="13"/>
        <v>247789.42</v>
      </c>
      <c r="AR35" s="87">
        <f t="shared" si="13"/>
        <v>256344.78</v>
      </c>
      <c r="AS35" s="87">
        <f t="shared" si="13"/>
        <v>59246.37</v>
      </c>
      <c r="AT35" s="87">
        <f t="shared" si="13"/>
        <v>65460.81</v>
      </c>
      <c r="AU35" s="87">
        <f t="shared" si="13"/>
        <v>97264.65</v>
      </c>
      <c r="AV35" s="87">
        <f t="shared" si="13"/>
        <v>222938.27</v>
      </c>
      <c r="AW35" s="87">
        <f t="shared" si="13"/>
        <v>114688.35</v>
      </c>
      <c r="AX35" s="87"/>
      <c r="AY35" s="88">
        <f t="shared" si="9"/>
        <v>1265208.8999999999</v>
      </c>
      <c r="AZ35" s="88">
        <f>ROUND(AZ3+AZ15+AZ22+AZ34,5)</f>
        <v>1078800</v>
      </c>
      <c r="BA35" s="88">
        <f>ROUND(BA3+BA15+BA22+BA34,5)</f>
        <v>1201000</v>
      </c>
      <c r="BB35" s="89"/>
    </row>
    <row r="36" spans="1:54" hidden="1" x14ac:dyDescent="0.3">
      <c r="A36" s="50"/>
      <c r="B36" s="50"/>
      <c r="C36" s="50"/>
      <c r="D36" s="50" t="s">
        <v>101</v>
      </c>
      <c r="E36" s="50"/>
      <c r="F36" s="50"/>
      <c r="G36" s="50"/>
      <c r="H36" s="51"/>
      <c r="I36" s="51"/>
      <c r="J36" s="51"/>
      <c r="K36" s="51"/>
      <c r="L36" s="51"/>
      <c r="M36" s="51"/>
      <c r="N36" s="51"/>
      <c r="O36" s="51"/>
      <c r="P36" s="51"/>
      <c r="Q36" s="51"/>
      <c r="R36" s="51"/>
      <c r="S36" s="51"/>
      <c r="T36" s="51"/>
      <c r="U36" s="51"/>
      <c r="V36" s="51"/>
      <c r="W36" s="51"/>
      <c r="AB36" s="86"/>
      <c r="AC36" s="86"/>
      <c r="AD36" s="86"/>
      <c r="AE36" s="86" t="s">
        <v>102</v>
      </c>
      <c r="AF36" s="86"/>
      <c r="AG36" s="86"/>
      <c r="AH36" s="87"/>
      <c r="AI36" s="87"/>
      <c r="AJ36" s="87"/>
      <c r="AK36" s="87"/>
      <c r="AL36" s="87"/>
      <c r="AM36" s="87"/>
      <c r="AN36" s="87"/>
      <c r="AO36" s="87"/>
      <c r="AP36" s="87"/>
      <c r="AQ36" s="87"/>
      <c r="AR36" s="87"/>
      <c r="AS36" s="87"/>
      <c r="AT36" s="87"/>
      <c r="AU36" s="87"/>
      <c r="AV36" s="87"/>
      <c r="AW36" s="87"/>
      <c r="AX36" s="87"/>
      <c r="AY36" s="88"/>
      <c r="AZ36" s="88"/>
      <c r="BA36" s="88"/>
      <c r="BB36" s="89"/>
    </row>
    <row r="37" spans="1:54" hidden="1" x14ac:dyDescent="0.3">
      <c r="A37" s="50"/>
      <c r="B37" s="50"/>
      <c r="C37" s="50"/>
      <c r="D37" s="50"/>
      <c r="E37" s="50" t="s">
        <v>102</v>
      </c>
      <c r="F37" s="50"/>
      <c r="G37" s="50"/>
      <c r="H37" s="51">
        <v>0</v>
      </c>
      <c r="I37" s="51">
        <v>0</v>
      </c>
      <c r="J37" s="51">
        <v>0</v>
      </c>
      <c r="K37" s="51">
        <v>0</v>
      </c>
      <c r="L37" s="51">
        <v>0</v>
      </c>
      <c r="M37" s="51">
        <v>0</v>
      </c>
      <c r="N37" s="51">
        <v>0</v>
      </c>
      <c r="O37" s="51">
        <v>0</v>
      </c>
      <c r="P37" s="51">
        <v>0</v>
      </c>
      <c r="Q37" s="51">
        <v>0</v>
      </c>
      <c r="R37" s="51">
        <v>0</v>
      </c>
      <c r="S37" s="51">
        <v>0</v>
      </c>
      <c r="T37" s="51"/>
      <c r="U37" s="51">
        <f>ROUND(SUM(H37:T37),5)</f>
        <v>0</v>
      </c>
      <c r="V37" s="51">
        <v>0</v>
      </c>
      <c r="W37" s="51">
        <v>0</v>
      </c>
      <c r="AB37" s="86"/>
      <c r="AC37" s="86"/>
      <c r="AD37" s="86" t="s">
        <v>103</v>
      </c>
      <c r="AE37" s="86"/>
      <c r="AF37" s="86"/>
      <c r="AG37" s="86"/>
      <c r="AH37" s="87"/>
      <c r="AI37" s="87"/>
      <c r="AJ37" s="87"/>
      <c r="AK37" s="87"/>
      <c r="AL37" s="87">
        <v>0</v>
      </c>
      <c r="AM37" s="87">
        <v>0</v>
      </c>
      <c r="AN37" s="87">
        <v>0</v>
      </c>
      <c r="AO37" s="87">
        <v>0</v>
      </c>
      <c r="AP37" s="87">
        <v>0</v>
      </c>
      <c r="AQ37" s="87">
        <v>0</v>
      </c>
      <c r="AR37" s="87">
        <v>0</v>
      </c>
      <c r="AS37" s="87">
        <v>0</v>
      </c>
      <c r="AT37" s="87">
        <v>0</v>
      </c>
      <c r="AU37" s="87">
        <v>0</v>
      </c>
      <c r="AV37" s="87">
        <v>0</v>
      </c>
      <c r="AW37" s="87">
        <v>0</v>
      </c>
      <c r="AX37" s="87"/>
      <c r="AY37" s="88">
        <f>ROUND(SUM(AH37:AX37),5)</f>
        <v>0</v>
      </c>
      <c r="AZ37" s="88">
        <v>0</v>
      </c>
      <c r="BA37" s="88">
        <v>0</v>
      </c>
      <c r="BB37" s="89"/>
    </row>
    <row r="38" spans="1:54" ht="15" hidden="1" thickBot="1" x14ac:dyDescent="0.35">
      <c r="A38" s="50"/>
      <c r="B38" s="50"/>
      <c r="C38" s="50"/>
      <c r="D38" s="50" t="s">
        <v>103</v>
      </c>
      <c r="E38" s="50"/>
      <c r="F38" s="50"/>
      <c r="G38" s="50"/>
      <c r="H38" s="53">
        <f t="shared" ref="H38:P38" si="14">ROUND(SUM(H36:H37),5)</f>
        <v>0</v>
      </c>
      <c r="I38" s="53">
        <f t="shared" si="14"/>
        <v>0</v>
      </c>
      <c r="J38" s="53">
        <f t="shared" si="14"/>
        <v>0</v>
      </c>
      <c r="K38" s="53">
        <f t="shared" si="14"/>
        <v>0</v>
      </c>
      <c r="L38" s="53">
        <f t="shared" si="14"/>
        <v>0</v>
      </c>
      <c r="M38" s="53">
        <f t="shared" si="14"/>
        <v>0</v>
      </c>
      <c r="N38" s="53">
        <f t="shared" si="14"/>
        <v>0</v>
      </c>
      <c r="O38" s="53">
        <f t="shared" si="14"/>
        <v>0</v>
      </c>
      <c r="P38" s="53">
        <f t="shared" si="14"/>
        <v>0</v>
      </c>
      <c r="Q38" s="53">
        <f>ROUND(SUM(Q36:Q37),5)</f>
        <v>0</v>
      </c>
      <c r="R38" s="53">
        <f>ROUND(SUM(R36:R37),5)</f>
        <v>0</v>
      </c>
      <c r="S38" s="53">
        <f>ROUND(SUM(S36:S37),5)</f>
        <v>0</v>
      </c>
      <c r="T38" s="53"/>
      <c r="U38" s="53">
        <f>ROUND(SUM(H38:T38),5)</f>
        <v>0</v>
      </c>
      <c r="V38" s="53">
        <f>ROUND(SUM(V36:V37),5)</f>
        <v>0</v>
      </c>
      <c r="W38" s="53">
        <f>ROUND(SUM(W36:W37),5)</f>
        <v>0</v>
      </c>
      <c r="AB38" s="86"/>
      <c r="AC38" s="86" t="s">
        <v>104</v>
      </c>
      <c r="AD38" s="86"/>
      <c r="AE38" s="86"/>
      <c r="AF38" s="86"/>
      <c r="AG38" s="86"/>
      <c r="AH38" s="93"/>
      <c r="AI38" s="93"/>
      <c r="AJ38" s="93"/>
      <c r="AK38" s="93"/>
      <c r="AL38" s="93">
        <f t="shared" ref="AL38:AW38" si="15">ROUND(SUM(AL36:AL37),5)</f>
        <v>0</v>
      </c>
      <c r="AM38" s="93">
        <f t="shared" si="15"/>
        <v>0</v>
      </c>
      <c r="AN38" s="93">
        <f t="shared" si="15"/>
        <v>0</v>
      </c>
      <c r="AO38" s="93">
        <f t="shared" si="15"/>
        <v>0</v>
      </c>
      <c r="AP38" s="93">
        <f t="shared" si="15"/>
        <v>0</v>
      </c>
      <c r="AQ38" s="93">
        <f t="shared" si="15"/>
        <v>0</v>
      </c>
      <c r="AR38" s="93">
        <f t="shared" si="15"/>
        <v>0</v>
      </c>
      <c r="AS38" s="93">
        <f t="shared" si="15"/>
        <v>0</v>
      </c>
      <c r="AT38" s="93">
        <f t="shared" si="15"/>
        <v>0</v>
      </c>
      <c r="AU38" s="93">
        <f t="shared" si="15"/>
        <v>0</v>
      </c>
      <c r="AV38" s="93">
        <f t="shared" si="15"/>
        <v>0</v>
      </c>
      <c r="AW38" s="93">
        <f t="shared" si="15"/>
        <v>0</v>
      </c>
      <c r="AX38" s="93"/>
      <c r="AY38" s="94">
        <f>ROUND(SUM(AH38:AX38),5)</f>
        <v>0</v>
      </c>
      <c r="AZ38" s="94">
        <f>ROUND(SUM(AZ36:AZ37),5)</f>
        <v>0</v>
      </c>
      <c r="BA38" s="94">
        <f>ROUND(SUM(BA36:BA37),5)</f>
        <v>0</v>
      </c>
      <c r="BB38" s="95"/>
    </row>
    <row r="39" spans="1:54" hidden="1" x14ac:dyDescent="0.3">
      <c r="A39" s="50"/>
      <c r="B39" s="50"/>
      <c r="C39" s="50" t="s">
        <v>104</v>
      </c>
      <c r="D39" s="50"/>
      <c r="E39" s="50"/>
      <c r="F39" s="50"/>
      <c r="G39" s="50"/>
      <c r="H39" s="51">
        <f t="shared" ref="H39:P39" si="16">ROUND(H35-H38,5)</f>
        <v>61275.14</v>
      </c>
      <c r="I39" s="51">
        <f t="shared" si="16"/>
        <v>21077.040000000001</v>
      </c>
      <c r="J39" s="51">
        <f t="shared" si="16"/>
        <v>86259.35</v>
      </c>
      <c r="K39" s="51">
        <f t="shared" si="16"/>
        <v>85563.12</v>
      </c>
      <c r="L39" s="51">
        <f t="shared" si="16"/>
        <v>26431.9</v>
      </c>
      <c r="M39" s="51">
        <f t="shared" si="16"/>
        <v>297669.45</v>
      </c>
      <c r="N39" s="51">
        <f t="shared" si="16"/>
        <v>218782.29</v>
      </c>
      <c r="O39" s="51">
        <f t="shared" si="16"/>
        <v>59700.88</v>
      </c>
      <c r="P39" s="51">
        <f t="shared" si="16"/>
        <v>74424.84</v>
      </c>
      <c r="Q39" s="51">
        <f>ROUND(Q35-Q38,5)</f>
        <v>104610.76</v>
      </c>
      <c r="R39" s="51">
        <f>ROUND(R35-R38,5)</f>
        <v>275564.61</v>
      </c>
      <c r="S39" s="51">
        <f>ROUND(S35-S38,5)</f>
        <v>43652.36</v>
      </c>
      <c r="T39" s="51"/>
      <c r="U39" s="51">
        <f>ROUND(SUM(H39:T39),5)</f>
        <v>1355011.74</v>
      </c>
      <c r="V39" s="51">
        <f>ROUND(V35-V38,5)</f>
        <v>1201000</v>
      </c>
      <c r="W39" s="51">
        <f>ROUND(W35-W38,5)</f>
        <v>1198500</v>
      </c>
      <c r="AB39" s="86"/>
      <c r="AC39" s="86"/>
      <c r="AD39" s="86" t="s">
        <v>4</v>
      </c>
      <c r="AE39" s="86"/>
      <c r="AF39" s="86"/>
      <c r="AG39" s="86"/>
      <c r="AH39" s="87"/>
      <c r="AI39" s="87"/>
      <c r="AJ39" s="87"/>
      <c r="AK39" s="87"/>
      <c r="AL39" s="87">
        <f t="shared" ref="AL39:AW39" si="17">ROUND(AL35-AL38,5)</f>
        <v>19157.96</v>
      </c>
      <c r="AM39" s="87">
        <f t="shared" si="17"/>
        <v>32762.26</v>
      </c>
      <c r="AN39" s="87">
        <f t="shared" si="17"/>
        <v>38581.82</v>
      </c>
      <c r="AO39" s="87">
        <f t="shared" si="17"/>
        <v>91690.13</v>
      </c>
      <c r="AP39" s="87">
        <f t="shared" si="17"/>
        <v>19284.080000000002</v>
      </c>
      <c r="AQ39" s="87">
        <f t="shared" si="17"/>
        <v>247789.42</v>
      </c>
      <c r="AR39" s="87">
        <f t="shared" si="17"/>
        <v>256344.78</v>
      </c>
      <c r="AS39" s="87">
        <f t="shared" si="17"/>
        <v>59246.37</v>
      </c>
      <c r="AT39" s="87">
        <f t="shared" si="17"/>
        <v>65460.81</v>
      </c>
      <c r="AU39" s="87">
        <f t="shared" si="17"/>
        <v>97264.65</v>
      </c>
      <c r="AV39" s="87">
        <f t="shared" si="17"/>
        <v>222938.27</v>
      </c>
      <c r="AW39" s="87">
        <f t="shared" si="17"/>
        <v>114688.35</v>
      </c>
      <c r="AX39" s="87"/>
      <c r="AY39" s="88">
        <f>ROUND(SUM(AH39:AX39),5)</f>
        <v>1265208.8999999999</v>
      </c>
      <c r="AZ39" s="88">
        <f>ROUND(AZ35-AZ38,5)</f>
        <v>1078800</v>
      </c>
      <c r="BA39" s="88">
        <f>ROUND(BA35-BA38,5)</f>
        <v>1201000</v>
      </c>
      <c r="BB39" s="89"/>
    </row>
    <row r="40" spans="1:54" x14ac:dyDescent="0.3">
      <c r="A40" s="50"/>
      <c r="B40" s="50"/>
      <c r="C40" s="50"/>
      <c r="D40" s="50" t="s">
        <v>4</v>
      </c>
      <c r="E40" s="50"/>
      <c r="F40" s="50"/>
      <c r="G40" s="50"/>
      <c r="H40" s="51"/>
      <c r="I40" s="51"/>
      <c r="J40" s="51"/>
      <c r="K40" s="51"/>
      <c r="L40" s="51"/>
      <c r="M40" s="51"/>
      <c r="N40" s="51"/>
      <c r="O40" s="51"/>
      <c r="P40" s="51"/>
      <c r="Q40" s="51"/>
      <c r="R40" s="51"/>
      <c r="S40" s="51"/>
      <c r="T40" s="51"/>
      <c r="U40" s="51"/>
      <c r="V40" s="51"/>
      <c r="W40" s="51"/>
      <c r="AB40" s="86"/>
      <c r="AC40" s="86"/>
      <c r="AD40" s="86"/>
      <c r="AE40" s="86" t="s">
        <v>105</v>
      </c>
      <c r="AF40" s="86"/>
      <c r="AG40" s="86"/>
      <c r="AH40" s="87"/>
      <c r="AI40" s="87"/>
      <c r="AJ40" s="87"/>
      <c r="AK40" s="87"/>
      <c r="AL40" s="87"/>
      <c r="AM40" s="87"/>
      <c r="AN40" s="87"/>
      <c r="AO40" s="87"/>
      <c r="AP40" s="87"/>
      <c r="AQ40" s="87"/>
      <c r="AR40" s="87"/>
      <c r="AS40" s="87"/>
      <c r="AT40" s="87"/>
      <c r="AU40" s="87"/>
      <c r="AV40" s="87"/>
      <c r="AW40" s="87"/>
      <c r="AX40" s="87"/>
      <c r="AY40" s="88"/>
      <c r="AZ40" s="88"/>
      <c r="BA40" s="88"/>
      <c r="BB40" s="89"/>
    </row>
    <row r="41" spans="1:54" x14ac:dyDescent="0.3">
      <c r="A41" s="50"/>
      <c r="B41" s="50"/>
      <c r="C41" s="50"/>
      <c r="D41" s="50"/>
      <c r="E41" s="50" t="s">
        <v>105</v>
      </c>
      <c r="F41" s="50"/>
      <c r="G41" s="50"/>
      <c r="H41" s="51"/>
      <c r="I41" s="51"/>
      <c r="J41" s="51"/>
      <c r="K41" s="51"/>
      <c r="L41" s="51"/>
      <c r="M41" s="51"/>
      <c r="N41" s="51"/>
      <c r="O41" s="51"/>
      <c r="P41" s="51"/>
      <c r="Q41" s="51"/>
      <c r="R41" s="51"/>
      <c r="S41" s="51"/>
      <c r="T41" s="51"/>
      <c r="U41" s="51"/>
      <c r="V41" s="51"/>
      <c r="W41" s="51"/>
      <c r="AB41" s="86"/>
      <c r="AC41" s="86"/>
      <c r="AD41" s="86"/>
      <c r="AE41" s="86"/>
      <c r="AF41" s="86"/>
      <c r="AG41" s="86"/>
      <c r="AH41" s="87"/>
      <c r="AI41" s="87"/>
      <c r="AJ41" s="87"/>
      <c r="AK41" s="87"/>
      <c r="AL41" s="87"/>
      <c r="AM41" s="87"/>
      <c r="AN41" s="87"/>
      <c r="AO41" s="87"/>
      <c r="AP41" s="87"/>
      <c r="AQ41" s="87"/>
      <c r="AR41" s="87"/>
      <c r="AS41" s="87"/>
      <c r="AT41" s="87"/>
      <c r="AU41" s="87"/>
      <c r="AV41" s="87"/>
      <c r="AW41" s="87"/>
      <c r="AX41" s="87"/>
      <c r="AY41" s="88"/>
      <c r="AZ41" s="88"/>
      <c r="BA41" s="88"/>
      <c r="BB41" s="89"/>
    </row>
    <row r="42" spans="1:54" x14ac:dyDescent="0.3">
      <c r="A42" s="50"/>
      <c r="B42" s="50"/>
      <c r="C42" s="50"/>
      <c r="D42" s="50"/>
      <c r="E42" s="50"/>
      <c r="F42" s="50" t="s">
        <v>106</v>
      </c>
      <c r="G42" s="50"/>
      <c r="H42" s="51"/>
      <c r="I42" s="51"/>
      <c r="J42" s="51"/>
      <c r="K42" s="51"/>
      <c r="L42" s="51"/>
      <c r="M42" s="51"/>
      <c r="N42" s="51"/>
      <c r="O42" s="51"/>
      <c r="P42" s="51"/>
      <c r="Q42" s="51"/>
      <c r="R42" s="51"/>
      <c r="S42" s="51"/>
      <c r="T42" s="51"/>
      <c r="U42" s="51"/>
      <c r="V42" s="51"/>
      <c r="W42" s="51"/>
      <c r="AB42" s="86"/>
      <c r="AC42" s="86"/>
      <c r="AD42" s="86"/>
      <c r="AE42" s="86"/>
      <c r="AF42" s="86" t="s">
        <v>106</v>
      </c>
      <c r="AG42" s="86"/>
      <c r="AH42" s="87"/>
      <c r="AI42" s="87"/>
      <c r="AJ42" s="87"/>
      <c r="AK42" s="87"/>
      <c r="AL42" s="87"/>
      <c r="AM42" s="87"/>
      <c r="AN42" s="87"/>
      <c r="AO42" s="87"/>
      <c r="AP42" s="87"/>
      <c r="AQ42" s="87"/>
      <c r="AR42" s="87"/>
      <c r="AS42" s="87"/>
      <c r="AT42" s="87"/>
      <c r="AU42" s="87"/>
      <c r="AV42" s="87"/>
      <c r="AW42" s="87"/>
      <c r="AX42" s="87"/>
      <c r="AY42" s="88"/>
      <c r="AZ42" s="88"/>
      <c r="BA42" s="88"/>
      <c r="BB42" s="89"/>
    </row>
    <row r="43" spans="1:54" x14ac:dyDescent="0.3">
      <c r="A43" s="50"/>
      <c r="B43" s="50"/>
      <c r="C43" s="50"/>
      <c r="D43" s="50"/>
      <c r="E43" s="50"/>
      <c r="F43" s="50"/>
      <c r="G43" s="50" t="s">
        <v>107</v>
      </c>
      <c r="H43" s="51">
        <v>8772.68</v>
      </c>
      <c r="I43" s="51">
        <v>17294.16</v>
      </c>
      <c r="J43" s="51">
        <v>20600.22</v>
      </c>
      <c r="K43" s="51">
        <v>22987.7</v>
      </c>
      <c r="L43" s="51">
        <v>15845.14</v>
      </c>
      <c r="M43" s="51">
        <v>18074.96</v>
      </c>
      <c r="N43" s="51">
        <v>35615.51</v>
      </c>
      <c r="O43" s="51">
        <v>18384.71</v>
      </c>
      <c r="P43" s="51">
        <v>18295.900000000001</v>
      </c>
      <c r="Q43" s="51">
        <v>27577.57</v>
      </c>
      <c r="R43" s="51">
        <v>18483.97</v>
      </c>
      <c r="S43" s="51">
        <v>21987.85</v>
      </c>
      <c r="T43" s="51"/>
      <c r="U43" s="51">
        <f>ROUND(SUM(H43:T43),5)</f>
        <v>243920.37</v>
      </c>
      <c r="V43" s="67">
        <v>281000</v>
      </c>
      <c r="W43" s="67">
        <v>319000</v>
      </c>
      <c r="X43" s="68" t="s">
        <v>207</v>
      </c>
      <c r="AB43" s="86"/>
      <c r="AC43" s="86"/>
      <c r="AD43" s="86"/>
      <c r="AE43" s="86"/>
      <c r="AF43" s="86"/>
      <c r="AG43" s="86" t="s">
        <v>107</v>
      </c>
      <c r="AH43" s="87"/>
      <c r="AI43" s="87"/>
      <c r="AJ43" s="87"/>
      <c r="AK43" s="87"/>
      <c r="AL43" s="87">
        <v>8942.48</v>
      </c>
      <c r="AM43" s="87">
        <v>16476.650000000001</v>
      </c>
      <c r="AN43" s="87">
        <v>17665.79</v>
      </c>
      <c r="AO43" s="87">
        <v>27986.11</v>
      </c>
      <c r="AP43" s="87">
        <v>14362.23</v>
      </c>
      <c r="AQ43" s="87">
        <v>14423.56</v>
      </c>
      <c r="AR43" s="87">
        <v>24698.48</v>
      </c>
      <c r="AS43" s="87">
        <v>16746.79</v>
      </c>
      <c r="AT43" s="87">
        <v>16868.52</v>
      </c>
      <c r="AU43" s="87">
        <v>25401.13</v>
      </c>
      <c r="AV43" s="87">
        <v>26898.32</v>
      </c>
      <c r="AW43" s="87">
        <v>21343.49</v>
      </c>
      <c r="AX43" s="87"/>
      <c r="AY43" s="88">
        <f t="shared" ref="AY43:AY50" si="18">ROUND(SUM(AH43:AX43),5)</f>
        <v>231813.55</v>
      </c>
      <c r="AZ43" s="88">
        <v>235000</v>
      </c>
      <c r="BA43" s="88">
        <v>281000</v>
      </c>
      <c r="BB43" s="89" t="s">
        <v>207</v>
      </c>
    </row>
    <row r="44" spans="1:54" x14ac:dyDescent="0.3">
      <c r="A44" s="50"/>
      <c r="B44" s="50"/>
      <c r="C44" s="50"/>
      <c r="D44" s="50"/>
      <c r="E44" s="50"/>
      <c r="F44" s="50"/>
      <c r="G44" s="50" t="s">
        <v>108</v>
      </c>
      <c r="H44" s="51">
        <v>0</v>
      </c>
      <c r="I44" s="51">
        <v>0</v>
      </c>
      <c r="J44" s="51">
        <v>0</v>
      </c>
      <c r="K44" s="51">
        <v>0</v>
      </c>
      <c r="L44" s="51">
        <v>0</v>
      </c>
      <c r="M44" s="51">
        <v>6280.13</v>
      </c>
      <c r="N44" s="51">
        <v>0</v>
      </c>
      <c r="O44" s="51">
        <v>0</v>
      </c>
      <c r="P44" s="51">
        <v>0</v>
      </c>
      <c r="Q44" s="51">
        <v>0</v>
      </c>
      <c r="R44" s="51">
        <v>0</v>
      </c>
      <c r="S44" s="51">
        <v>0</v>
      </c>
      <c r="T44" s="51"/>
      <c r="U44" s="51">
        <f>ROUND(SUM(H44:T44),5)</f>
        <v>6280.13</v>
      </c>
      <c r="V44" s="67">
        <v>5000</v>
      </c>
      <c r="W44" s="67">
        <v>6500</v>
      </c>
      <c r="X44" s="68" t="s">
        <v>207</v>
      </c>
      <c r="AB44" s="86"/>
      <c r="AC44" s="86"/>
      <c r="AD44" s="86"/>
      <c r="AE44" s="86"/>
      <c r="AF44" s="86"/>
      <c r="AG44" s="86" t="s">
        <v>212</v>
      </c>
      <c r="AH44" s="87"/>
      <c r="AI44" s="87"/>
      <c r="AJ44" s="87"/>
      <c r="AK44" s="87"/>
      <c r="AL44" s="87">
        <v>0</v>
      </c>
      <c r="AM44" s="87">
        <v>0</v>
      </c>
      <c r="AN44" s="87">
        <v>0</v>
      </c>
      <c r="AO44" s="87">
        <v>0</v>
      </c>
      <c r="AP44" s="87">
        <v>0</v>
      </c>
      <c r="AQ44" s="87">
        <v>0</v>
      </c>
      <c r="AR44" s="87">
        <v>0</v>
      </c>
      <c r="AS44" s="87">
        <v>0</v>
      </c>
      <c r="AT44" s="87">
        <v>0</v>
      </c>
      <c r="AU44" s="87">
        <v>0</v>
      </c>
      <c r="AV44" s="87">
        <v>0</v>
      </c>
      <c r="AW44" s="87">
        <v>0</v>
      </c>
      <c r="AX44" s="87"/>
      <c r="AY44" s="88">
        <f t="shared" si="18"/>
        <v>0</v>
      </c>
      <c r="AZ44" s="88">
        <v>43680</v>
      </c>
      <c r="BA44" s="88">
        <v>43680</v>
      </c>
      <c r="BB44" s="89" t="s">
        <v>245</v>
      </c>
    </row>
    <row r="45" spans="1:54" ht="21.6" x14ac:dyDescent="0.3">
      <c r="A45" s="50"/>
      <c r="B45" s="50"/>
      <c r="C45" s="50"/>
      <c r="D45" s="50"/>
      <c r="E45" s="50"/>
      <c r="F45" s="50"/>
      <c r="G45" s="50" t="s">
        <v>276</v>
      </c>
      <c r="H45" s="51">
        <v>0</v>
      </c>
      <c r="I45" s="51">
        <v>0</v>
      </c>
      <c r="J45" s="51">
        <v>0</v>
      </c>
      <c r="K45" s="51">
        <v>0</v>
      </c>
      <c r="L45" s="51">
        <v>0</v>
      </c>
      <c r="M45" s="51">
        <v>0</v>
      </c>
      <c r="N45" s="51">
        <v>0</v>
      </c>
      <c r="O45" s="51">
        <v>0</v>
      </c>
      <c r="P45" s="51">
        <v>0</v>
      </c>
      <c r="Q45" s="51">
        <v>0</v>
      </c>
      <c r="R45" s="51">
        <v>0</v>
      </c>
      <c r="S45" s="51">
        <v>0</v>
      </c>
      <c r="T45" s="51"/>
      <c r="U45" s="51">
        <f>ROUND(SUM(H45:T45),5)</f>
        <v>0</v>
      </c>
      <c r="V45" s="67">
        <v>5500</v>
      </c>
      <c r="W45" s="67">
        <v>0</v>
      </c>
      <c r="X45" s="68" t="s">
        <v>305</v>
      </c>
      <c r="AB45" s="86"/>
      <c r="AC45" s="86"/>
      <c r="AD45" s="86"/>
      <c r="AE45" s="86"/>
      <c r="AF45" s="86"/>
      <c r="AG45" s="86" t="s">
        <v>108</v>
      </c>
      <c r="AH45" s="87"/>
      <c r="AI45" s="87"/>
      <c r="AJ45" s="87"/>
      <c r="AK45" s="87"/>
      <c r="AL45" s="87">
        <v>0</v>
      </c>
      <c r="AM45" s="87">
        <v>0</v>
      </c>
      <c r="AN45" s="87">
        <v>0</v>
      </c>
      <c r="AO45" s="87">
        <v>0</v>
      </c>
      <c r="AP45" s="87">
        <v>0</v>
      </c>
      <c r="AQ45" s="87">
        <v>3986.45</v>
      </c>
      <c r="AR45" s="87">
        <v>0</v>
      </c>
      <c r="AS45" s="87">
        <v>0</v>
      </c>
      <c r="AT45" s="87">
        <v>0</v>
      </c>
      <c r="AU45" s="87">
        <v>6572.5</v>
      </c>
      <c r="AV45" s="87">
        <v>0</v>
      </c>
      <c r="AW45" s="87">
        <v>0</v>
      </c>
      <c r="AX45" s="87"/>
      <c r="AY45" s="88">
        <f t="shared" si="18"/>
        <v>10558.95</v>
      </c>
      <c r="AZ45" s="88">
        <v>4500</v>
      </c>
      <c r="BA45" s="88">
        <v>5000</v>
      </c>
      <c r="BB45" s="89" t="s">
        <v>207</v>
      </c>
    </row>
    <row r="46" spans="1:54" ht="15" thickBot="1" x14ac:dyDescent="0.35">
      <c r="A46" s="50"/>
      <c r="B46" s="50"/>
      <c r="C46" s="50"/>
      <c r="D46" s="50"/>
      <c r="E46" s="50"/>
      <c r="F46" s="50"/>
      <c r="G46" s="50" t="s">
        <v>109</v>
      </c>
      <c r="H46" s="52">
        <v>35.64</v>
      </c>
      <c r="I46" s="52">
        <v>35.64</v>
      </c>
      <c r="J46" s="52">
        <v>35.64</v>
      </c>
      <c r="K46" s="52">
        <v>35.64</v>
      </c>
      <c r="L46" s="52">
        <v>35.64</v>
      </c>
      <c r="M46" s="52">
        <v>35.64</v>
      </c>
      <c r="N46" s="52">
        <v>35.64</v>
      </c>
      <c r="O46" s="52">
        <v>35.64</v>
      </c>
      <c r="P46" s="52">
        <v>35.64</v>
      </c>
      <c r="Q46" s="52">
        <v>35.64</v>
      </c>
      <c r="R46" s="52">
        <v>35.64</v>
      </c>
      <c r="S46" s="52">
        <v>35.64</v>
      </c>
      <c r="T46" s="52"/>
      <c r="U46" s="52">
        <f>ROUND(SUM(H46:T46),5)</f>
        <v>427.68</v>
      </c>
      <c r="V46" s="69">
        <v>450</v>
      </c>
      <c r="W46" s="69">
        <v>450</v>
      </c>
      <c r="X46" s="68" t="s">
        <v>207</v>
      </c>
      <c r="AB46" s="86"/>
      <c r="AC46" s="86"/>
      <c r="AD46" s="86"/>
      <c r="AE46" s="86"/>
      <c r="AF46" s="86"/>
      <c r="AG46" s="86" t="s">
        <v>237</v>
      </c>
      <c r="AH46" s="87"/>
      <c r="AI46" s="87"/>
      <c r="AJ46" s="87"/>
      <c r="AK46" s="87"/>
      <c r="AL46" s="87">
        <v>0</v>
      </c>
      <c r="AM46" s="87">
        <v>0</v>
      </c>
      <c r="AN46" s="87">
        <v>0</v>
      </c>
      <c r="AO46" s="87">
        <v>0</v>
      </c>
      <c r="AP46" s="87">
        <v>0</v>
      </c>
      <c r="AQ46" s="87">
        <v>0</v>
      </c>
      <c r="AR46" s="87">
        <v>0</v>
      </c>
      <c r="AS46" s="87">
        <v>0</v>
      </c>
      <c r="AT46" s="87">
        <v>0</v>
      </c>
      <c r="AU46" s="87">
        <v>0</v>
      </c>
      <c r="AV46" s="87">
        <v>0</v>
      </c>
      <c r="AW46" s="87">
        <v>0</v>
      </c>
      <c r="AX46" s="87"/>
      <c r="AY46" s="88">
        <f t="shared" si="18"/>
        <v>0</v>
      </c>
      <c r="AZ46" s="88">
        <v>5100</v>
      </c>
      <c r="BA46" s="88">
        <v>5500</v>
      </c>
      <c r="BB46" s="89" t="s">
        <v>207</v>
      </c>
    </row>
    <row r="47" spans="1:54" ht="15" thickBot="1" x14ac:dyDescent="0.35">
      <c r="A47" s="50"/>
      <c r="B47" s="50"/>
      <c r="C47" s="50"/>
      <c r="D47" s="50"/>
      <c r="E47" s="50"/>
      <c r="F47" s="50" t="s">
        <v>110</v>
      </c>
      <c r="G47" s="50"/>
      <c r="H47" s="51">
        <f t="shared" ref="H47:S47" si="19">ROUND(SUM(H42:H46),5)</f>
        <v>8808.32</v>
      </c>
      <c r="I47" s="51">
        <f t="shared" si="19"/>
        <v>17329.8</v>
      </c>
      <c r="J47" s="51">
        <f t="shared" si="19"/>
        <v>20635.86</v>
      </c>
      <c r="K47" s="51">
        <f t="shared" si="19"/>
        <v>23023.34</v>
      </c>
      <c r="L47" s="51">
        <f t="shared" si="19"/>
        <v>15880.78</v>
      </c>
      <c r="M47" s="51">
        <f t="shared" si="19"/>
        <v>24390.73</v>
      </c>
      <c r="N47" s="51">
        <f t="shared" si="19"/>
        <v>35651.15</v>
      </c>
      <c r="O47" s="51">
        <f t="shared" si="19"/>
        <v>18420.349999999999</v>
      </c>
      <c r="P47" s="51">
        <f t="shared" si="19"/>
        <v>18331.54</v>
      </c>
      <c r="Q47" s="51">
        <f t="shared" si="19"/>
        <v>27613.21</v>
      </c>
      <c r="R47" s="51">
        <f t="shared" si="19"/>
        <v>18519.61</v>
      </c>
      <c r="S47" s="51">
        <f t="shared" si="19"/>
        <v>22023.49</v>
      </c>
      <c r="T47" s="51"/>
      <c r="U47" s="51">
        <f>ROUND(SUM(H47:T47),5)</f>
        <v>250628.18</v>
      </c>
      <c r="V47" s="51">
        <f>ROUND(SUM(V42:V46),5)</f>
        <v>291950</v>
      </c>
      <c r="W47" s="51">
        <f>ROUND(SUM(W42:W46),5)</f>
        <v>325950</v>
      </c>
      <c r="AB47" s="86"/>
      <c r="AC47" s="86"/>
      <c r="AD47" s="86"/>
      <c r="AE47" s="86"/>
      <c r="AF47" s="86"/>
      <c r="AG47" s="86" t="s">
        <v>109</v>
      </c>
      <c r="AH47" s="90"/>
      <c r="AI47" s="90"/>
      <c r="AJ47" s="90"/>
      <c r="AK47" s="90"/>
      <c r="AL47" s="90">
        <v>35.64</v>
      </c>
      <c r="AM47" s="90">
        <v>35.64</v>
      </c>
      <c r="AN47" s="90">
        <v>35.64</v>
      </c>
      <c r="AO47" s="90">
        <v>35.64</v>
      </c>
      <c r="AP47" s="90">
        <v>35.64</v>
      </c>
      <c r="AQ47" s="90">
        <v>35.64</v>
      </c>
      <c r="AR47" s="90">
        <v>35.64</v>
      </c>
      <c r="AS47" s="90">
        <v>35.64</v>
      </c>
      <c r="AT47" s="90">
        <v>35.64</v>
      </c>
      <c r="AU47" s="90">
        <v>35.64</v>
      </c>
      <c r="AV47" s="90">
        <v>35.64</v>
      </c>
      <c r="AW47" s="90">
        <v>35.64</v>
      </c>
      <c r="AX47" s="90"/>
      <c r="AY47" s="91">
        <f t="shared" si="18"/>
        <v>427.68</v>
      </c>
      <c r="AZ47" s="91">
        <v>450</v>
      </c>
      <c r="BA47" s="91">
        <v>450</v>
      </c>
      <c r="BB47" s="92"/>
    </row>
    <row r="48" spans="1:54" x14ac:dyDescent="0.3">
      <c r="A48" s="50"/>
      <c r="B48" s="50"/>
      <c r="C48" s="50"/>
      <c r="D48" s="50"/>
      <c r="E48" s="50"/>
      <c r="F48" s="50"/>
      <c r="G48" s="50"/>
      <c r="H48" s="51"/>
      <c r="I48" s="51"/>
      <c r="J48" s="51"/>
      <c r="K48" s="51"/>
      <c r="L48" s="51"/>
      <c r="M48" s="51"/>
      <c r="N48" s="51"/>
      <c r="O48" s="51"/>
      <c r="P48" s="51"/>
      <c r="Q48" s="51"/>
      <c r="R48" s="51"/>
      <c r="S48" s="51"/>
      <c r="T48" s="51"/>
      <c r="U48" s="51"/>
      <c r="V48" s="51"/>
      <c r="W48" s="51"/>
      <c r="AB48" s="86"/>
      <c r="AC48" s="86"/>
      <c r="AD48" s="86"/>
      <c r="AE48" s="86"/>
      <c r="AF48" s="86"/>
      <c r="AG48" s="86"/>
      <c r="AH48" s="87"/>
      <c r="AI48" s="87"/>
      <c r="AJ48" s="87"/>
      <c r="AK48" s="87"/>
      <c r="AL48" s="87"/>
      <c r="AM48" s="87"/>
      <c r="AN48" s="87"/>
      <c r="AO48" s="87"/>
      <c r="AP48" s="87"/>
      <c r="AQ48" s="87"/>
      <c r="AR48" s="87"/>
      <c r="AS48" s="87"/>
      <c r="AT48" s="87"/>
      <c r="AU48" s="87"/>
      <c r="AV48" s="87"/>
      <c r="AW48" s="87"/>
      <c r="AX48" s="87"/>
      <c r="AY48" s="88"/>
      <c r="AZ48" s="88"/>
      <c r="BA48" s="88"/>
      <c r="BB48" s="89"/>
    </row>
    <row r="49" spans="1:54" x14ac:dyDescent="0.3">
      <c r="A49" s="50"/>
      <c r="B49" s="50"/>
      <c r="C49" s="50"/>
      <c r="D49" s="50"/>
      <c r="E49" s="50"/>
      <c r="F49" s="50"/>
      <c r="G49" s="50"/>
      <c r="H49" s="51"/>
      <c r="I49" s="51"/>
      <c r="J49" s="51"/>
      <c r="K49" s="51"/>
      <c r="L49" s="51"/>
      <c r="M49" s="51"/>
      <c r="N49" s="51"/>
      <c r="O49" s="51"/>
      <c r="P49" s="51"/>
      <c r="Q49" s="51"/>
      <c r="R49" s="51"/>
      <c r="S49" s="51"/>
      <c r="T49" s="51"/>
      <c r="U49" s="51"/>
      <c r="V49" s="51"/>
      <c r="W49" s="51"/>
      <c r="AB49" s="86"/>
      <c r="AC49" s="86"/>
      <c r="AD49" s="86"/>
      <c r="AE49" s="86"/>
      <c r="AF49" s="86"/>
      <c r="AG49" s="86"/>
      <c r="AH49" s="87"/>
      <c r="AI49" s="87"/>
      <c r="AJ49" s="87"/>
      <c r="AK49" s="87"/>
      <c r="AL49" s="87"/>
      <c r="AM49" s="87"/>
      <c r="AN49" s="87"/>
      <c r="AO49" s="87"/>
      <c r="AP49" s="87"/>
      <c r="AQ49" s="87"/>
      <c r="AR49" s="87"/>
      <c r="AS49" s="87"/>
      <c r="AT49" s="87"/>
      <c r="AU49" s="87"/>
      <c r="AV49" s="87"/>
      <c r="AW49" s="87"/>
      <c r="AX49" s="87"/>
      <c r="AY49" s="88"/>
      <c r="AZ49" s="88"/>
      <c r="BA49" s="88"/>
      <c r="BB49" s="89"/>
    </row>
    <row r="50" spans="1:54" x14ac:dyDescent="0.3">
      <c r="A50" s="50"/>
      <c r="B50" s="50"/>
      <c r="C50" s="50"/>
      <c r="D50" s="50"/>
      <c r="E50" s="50"/>
      <c r="F50" s="50" t="s">
        <v>277</v>
      </c>
      <c r="G50" s="50"/>
      <c r="H50" s="51"/>
      <c r="I50" s="51"/>
      <c r="J50" s="51"/>
      <c r="K50" s="51"/>
      <c r="L50" s="51"/>
      <c r="M50" s="51"/>
      <c r="N50" s="51"/>
      <c r="O50" s="51"/>
      <c r="P50" s="51"/>
      <c r="Q50" s="51"/>
      <c r="R50" s="51"/>
      <c r="S50" s="51"/>
      <c r="T50" s="51"/>
      <c r="U50" s="51"/>
      <c r="V50" s="51"/>
      <c r="W50" s="51"/>
      <c r="AB50" s="86"/>
      <c r="AC50" s="86"/>
      <c r="AD50" s="86"/>
      <c r="AE50" s="86"/>
      <c r="AF50" s="86" t="s">
        <v>110</v>
      </c>
      <c r="AG50" s="86"/>
      <c r="AH50" s="87"/>
      <c r="AI50" s="87"/>
      <c r="AJ50" s="87"/>
      <c r="AK50" s="87"/>
      <c r="AL50" s="87">
        <f t="shared" ref="AL50:AW50" si="20">ROUND(SUM(AL42:AL47),5)</f>
        <v>8978.1200000000008</v>
      </c>
      <c r="AM50" s="87">
        <f t="shared" si="20"/>
        <v>16512.29</v>
      </c>
      <c r="AN50" s="87">
        <f t="shared" si="20"/>
        <v>17701.43</v>
      </c>
      <c r="AO50" s="87">
        <f t="shared" si="20"/>
        <v>28021.75</v>
      </c>
      <c r="AP50" s="87">
        <f t="shared" si="20"/>
        <v>14397.87</v>
      </c>
      <c r="AQ50" s="87">
        <f t="shared" si="20"/>
        <v>18445.650000000001</v>
      </c>
      <c r="AR50" s="87">
        <f t="shared" si="20"/>
        <v>24734.12</v>
      </c>
      <c r="AS50" s="87">
        <f t="shared" si="20"/>
        <v>16782.43</v>
      </c>
      <c r="AT50" s="87">
        <f t="shared" si="20"/>
        <v>16904.16</v>
      </c>
      <c r="AU50" s="87">
        <f t="shared" si="20"/>
        <v>32009.27</v>
      </c>
      <c r="AV50" s="87">
        <f t="shared" si="20"/>
        <v>26933.96</v>
      </c>
      <c r="AW50" s="87">
        <f t="shared" si="20"/>
        <v>21379.13</v>
      </c>
      <c r="AX50" s="87"/>
      <c r="AY50" s="88">
        <f t="shared" si="18"/>
        <v>242800.18</v>
      </c>
      <c r="AZ50" s="88">
        <f>ROUND(SUM(AZ42:AZ47),5)</f>
        <v>288730</v>
      </c>
      <c r="BA50" s="88">
        <f>ROUND(SUM(BA42:BA47),5)</f>
        <v>335630</v>
      </c>
      <c r="BB50" s="89"/>
    </row>
    <row r="51" spans="1:54" ht="15" thickBot="1" x14ac:dyDescent="0.35">
      <c r="A51" s="50"/>
      <c r="B51" s="50"/>
      <c r="C51" s="50"/>
      <c r="D51" s="50"/>
      <c r="E51" s="50"/>
      <c r="F51" s="50"/>
      <c r="G51" s="50" t="s">
        <v>212</v>
      </c>
      <c r="H51" s="52">
        <v>0</v>
      </c>
      <c r="I51" s="52">
        <v>0</v>
      </c>
      <c r="J51" s="52">
        <v>0</v>
      </c>
      <c r="K51" s="52">
        <v>1254.4000000000001</v>
      </c>
      <c r="L51" s="52">
        <v>851.2</v>
      </c>
      <c r="M51" s="52">
        <v>0</v>
      </c>
      <c r="N51" s="52">
        <v>0</v>
      </c>
      <c r="O51" s="52">
        <v>0</v>
      </c>
      <c r="P51" s="52">
        <v>0</v>
      </c>
      <c r="Q51" s="52">
        <v>0</v>
      </c>
      <c r="R51" s="52">
        <v>0</v>
      </c>
      <c r="S51" s="52">
        <v>0</v>
      </c>
      <c r="T51" s="52"/>
      <c r="U51" s="52">
        <f>ROUND(SUM(H51:T51),5)</f>
        <v>2105.6</v>
      </c>
      <c r="V51" s="52">
        <v>43680</v>
      </c>
      <c r="W51" s="52">
        <v>0</v>
      </c>
      <c r="X51" s="68" t="s">
        <v>297</v>
      </c>
      <c r="AB51" s="86"/>
      <c r="AC51" s="86"/>
      <c r="AD51" s="86"/>
      <c r="AE51" s="86"/>
      <c r="AF51" s="86"/>
      <c r="AG51" s="86"/>
      <c r="AH51" s="87"/>
      <c r="AI51" s="87"/>
      <c r="AJ51" s="87"/>
      <c r="AK51" s="87"/>
      <c r="AL51" s="87"/>
      <c r="AM51" s="87"/>
      <c r="AN51" s="87"/>
      <c r="AO51" s="87"/>
      <c r="AP51" s="87"/>
      <c r="AQ51" s="87"/>
      <c r="AR51" s="87"/>
      <c r="AS51" s="87"/>
      <c r="AT51" s="87"/>
      <c r="AU51" s="87"/>
      <c r="AV51" s="87"/>
      <c r="AW51" s="87"/>
      <c r="AX51" s="87"/>
      <c r="AY51" s="88"/>
      <c r="AZ51" s="88"/>
      <c r="BA51" s="88"/>
      <c r="BB51" s="89"/>
    </row>
    <row r="52" spans="1:54" x14ac:dyDescent="0.3">
      <c r="A52" s="50"/>
      <c r="B52" s="50"/>
      <c r="C52" s="50"/>
      <c r="D52" s="50"/>
      <c r="E52" s="50"/>
      <c r="F52" s="50" t="s">
        <v>278</v>
      </c>
      <c r="G52" s="50"/>
      <c r="H52" s="51">
        <f t="shared" ref="H52:P52" si="21">ROUND(SUM(H50:H51),5)</f>
        <v>0</v>
      </c>
      <c r="I52" s="51">
        <f t="shared" si="21"/>
        <v>0</v>
      </c>
      <c r="J52" s="51">
        <f t="shared" si="21"/>
        <v>0</v>
      </c>
      <c r="K52" s="51">
        <f t="shared" si="21"/>
        <v>1254.4000000000001</v>
      </c>
      <c r="L52" s="51">
        <f t="shared" si="21"/>
        <v>851.2</v>
      </c>
      <c r="M52" s="51">
        <f t="shared" si="21"/>
        <v>0</v>
      </c>
      <c r="N52" s="51">
        <f t="shared" si="21"/>
        <v>0</v>
      </c>
      <c r="O52" s="51">
        <f t="shared" si="21"/>
        <v>0</v>
      </c>
      <c r="P52" s="51">
        <f t="shared" si="21"/>
        <v>0</v>
      </c>
      <c r="Q52" s="51">
        <f>ROUND(SUM(Q50:Q51),5)</f>
        <v>0</v>
      </c>
      <c r="R52" s="51">
        <f>ROUND(SUM(R50:R51),5)</f>
        <v>0</v>
      </c>
      <c r="S52" s="51">
        <f>ROUND(SUM(S50:S51),5)</f>
        <v>0</v>
      </c>
      <c r="T52" s="51"/>
      <c r="U52" s="51">
        <f>ROUND(SUM(H52:T52),5)</f>
        <v>2105.6</v>
      </c>
      <c r="V52" s="51">
        <f>ROUND(SUM(V50:V51),5)</f>
        <v>43680</v>
      </c>
      <c r="W52" s="51">
        <f>ROUND(SUM(W50:W51),5)</f>
        <v>0</v>
      </c>
      <c r="AB52" s="86"/>
      <c r="AC52" s="86"/>
      <c r="AD52" s="86"/>
      <c r="AE52" s="86"/>
      <c r="AF52" s="86"/>
      <c r="AG52" s="86"/>
      <c r="AH52" s="87"/>
      <c r="AI52" s="87"/>
      <c r="AJ52" s="87"/>
      <c r="AK52" s="87"/>
      <c r="AL52" s="87"/>
      <c r="AM52" s="87"/>
      <c r="AN52" s="87"/>
      <c r="AO52" s="87"/>
      <c r="AP52" s="87"/>
      <c r="AQ52" s="87"/>
      <c r="AR52" s="87"/>
      <c r="AS52" s="87"/>
      <c r="AT52" s="87"/>
      <c r="AU52" s="87"/>
      <c r="AV52" s="87"/>
      <c r="AW52" s="87"/>
      <c r="AX52" s="87"/>
      <c r="AY52" s="88"/>
      <c r="AZ52" s="88"/>
      <c r="BA52" s="88"/>
      <c r="BB52" s="89"/>
    </row>
    <row r="53" spans="1:54" x14ac:dyDescent="0.3">
      <c r="A53" s="50"/>
      <c r="B53" s="50"/>
      <c r="C53" s="50"/>
      <c r="D53" s="50"/>
      <c r="E53" s="50"/>
      <c r="F53" s="50" t="s">
        <v>111</v>
      </c>
      <c r="G53" s="50"/>
      <c r="H53" s="51"/>
      <c r="I53" s="51"/>
      <c r="J53" s="51"/>
      <c r="K53" s="51"/>
      <c r="L53" s="51"/>
      <c r="M53" s="51"/>
      <c r="N53" s="51"/>
      <c r="O53" s="51"/>
      <c r="P53" s="51"/>
      <c r="Q53" s="51"/>
      <c r="R53" s="51"/>
      <c r="S53" s="51"/>
      <c r="T53" s="51"/>
      <c r="U53" s="51"/>
      <c r="V53" s="51"/>
      <c r="W53" s="51"/>
      <c r="AB53" s="86"/>
      <c r="AC53" s="86"/>
      <c r="AD53" s="86"/>
      <c r="AE53" s="86"/>
      <c r="AF53" s="86" t="s">
        <v>111</v>
      </c>
      <c r="AG53" s="86"/>
      <c r="AH53" s="87"/>
      <c r="AI53" s="87"/>
      <c r="AJ53" s="87"/>
      <c r="AK53" s="87"/>
      <c r="AL53" s="87"/>
      <c r="AM53" s="87"/>
      <c r="AN53" s="87"/>
      <c r="AO53" s="87"/>
      <c r="AP53" s="87"/>
      <c r="AQ53" s="87"/>
      <c r="AR53" s="87"/>
      <c r="AS53" s="87"/>
      <c r="AT53" s="87"/>
      <c r="AU53" s="87"/>
      <c r="AV53" s="87"/>
      <c r="AW53" s="87"/>
      <c r="AX53" s="87"/>
      <c r="AY53" s="88"/>
      <c r="AZ53" s="88"/>
      <c r="BA53" s="88"/>
      <c r="BB53" s="89"/>
    </row>
    <row r="54" spans="1:54" x14ac:dyDescent="0.3">
      <c r="A54" s="50"/>
      <c r="B54" s="50"/>
      <c r="C54" s="50"/>
      <c r="D54" s="50"/>
      <c r="E54" s="50"/>
      <c r="F54" s="50"/>
      <c r="G54" s="50" t="s">
        <v>112</v>
      </c>
      <c r="H54" s="51">
        <v>1363.28</v>
      </c>
      <c r="I54" s="51">
        <v>1867.01</v>
      </c>
      <c r="J54" s="51">
        <v>656.6</v>
      </c>
      <c r="K54" s="51">
        <v>1950.84</v>
      </c>
      <c r="L54" s="51">
        <v>1313.48</v>
      </c>
      <c r="M54" s="51">
        <v>1320.95</v>
      </c>
      <c r="N54" s="51">
        <v>1321.44</v>
      </c>
      <c r="O54" s="51">
        <v>1329.6</v>
      </c>
      <c r="P54" s="51">
        <v>1319.97</v>
      </c>
      <c r="Q54" s="51">
        <v>1985.98</v>
      </c>
      <c r="R54" s="51">
        <v>1328.89</v>
      </c>
      <c r="S54" s="51">
        <v>1197.02</v>
      </c>
      <c r="T54" s="51"/>
      <c r="U54" s="51">
        <f>ROUND(SUM(H54:T54),5)</f>
        <v>16955.060000000001</v>
      </c>
      <c r="V54" s="51">
        <v>21000</v>
      </c>
      <c r="W54" s="51">
        <v>23500</v>
      </c>
      <c r="X54" s="68" t="s">
        <v>207</v>
      </c>
      <c r="AB54" s="86"/>
      <c r="AC54" s="86"/>
      <c r="AD54" s="86"/>
      <c r="AE54" s="86"/>
      <c r="AF54" s="86"/>
      <c r="AG54" s="86" t="s">
        <v>112</v>
      </c>
      <c r="AH54" s="87"/>
      <c r="AI54" s="87"/>
      <c r="AJ54" s="87"/>
      <c r="AK54" s="87"/>
      <c r="AL54" s="87">
        <v>1292.3</v>
      </c>
      <c r="AM54" s="87">
        <v>1764.12</v>
      </c>
      <c r="AN54" s="87">
        <v>589.02</v>
      </c>
      <c r="AO54" s="87">
        <v>2195.9699999999998</v>
      </c>
      <c r="AP54" s="87">
        <v>1217.4100000000001</v>
      </c>
      <c r="AQ54" s="87">
        <v>1220.48</v>
      </c>
      <c r="AR54" s="87">
        <v>1228.23</v>
      </c>
      <c r="AS54" s="87">
        <v>1225.46</v>
      </c>
      <c r="AT54" s="87">
        <v>1234.52</v>
      </c>
      <c r="AU54" s="87">
        <v>1839.28</v>
      </c>
      <c r="AV54" s="87">
        <v>1239.45</v>
      </c>
      <c r="AW54" s="87">
        <v>1365.34</v>
      </c>
      <c r="AX54" s="87"/>
      <c r="AY54" s="88">
        <f>ROUND(SUM(AH54:AX54),5)</f>
        <v>16411.580000000002</v>
      </c>
      <c r="AZ54" s="88">
        <v>16100</v>
      </c>
      <c r="BA54" s="88">
        <v>21000</v>
      </c>
      <c r="BB54" s="89" t="s">
        <v>207</v>
      </c>
    </row>
    <row r="55" spans="1:54" ht="15" thickBot="1" x14ac:dyDescent="0.35">
      <c r="A55" s="50"/>
      <c r="B55" s="50"/>
      <c r="C55" s="50"/>
      <c r="D55" s="50"/>
      <c r="E55" s="50"/>
      <c r="F55" s="50"/>
      <c r="G55" s="50" t="s">
        <v>113</v>
      </c>
      <c r="H55" s="52">
        <v>0</v>
      </c>
      <c r="I55" s="52">
        <v>626.04</v>
      </c>
      <c r="J55" s="52">
        <v>-626.04</v>
      </c>
      <c r="K55" s="52">
        <v>0</v>
      </c>
      <c r="L55" s="52">
        <v>0</v>
      </c>
      <c r="M55" s="52">
        <v>0</v>
      </c>
      <c r="N55" s="52">
        <v>0</v>
      </c>
      <c r="O55" s="52">
        <v>0</v>
      </c>
      <c r="P55" s="52">
        <v>0</v>
      </c>
      <c r="Q55" s="52">
        <v>0</v>
      </c>
      <c r="R55" s="52">
        <v>0</v>
      </c>
      <c r="S55" s="52">
        <v>0</v>
      </c>
      <c r="T55" s="52"/>
      <c r="U55" s="52">
        <f>ROUND(SUM(H55:T55),5)</f>
        <v>0</v>
      </c>
      <c r="V55" s="52">
        <v>0</v>
      </c>
      <c r="W55" s="52">
        <v>0</v>
      </c>
      <c r="AB55" s="86"/>
      <c r="AC55" s="86"/>
      <c r="AD55" s="86"/>
      <c r="AE55" s="86"/>
      <c r="AF55" s="86"/>
      <c r="AG55" s="86" t="s">
        <v>113</v>
      </c>
      <c r="AH55" s="90"/>
      <c r="AI55" s="90"/>
      <c r="AJ55" s="90"/>
      <c r="AK55" s="90"/>
      <c r="AL55" s="90">
        <v>126.98</v>
      </c>
      <c r="AM55" s="90">
        <v>589.03</v>
      </c>
      <c r="AN55" s="90">
        <v>-589.03</v>
      </c>
      <c r="AO55" s="90">
        <v>0</v>
      </c>
      <c r="AP55" s="90">
        <v>0</v>
      </c>
      <c r="AQ55" s="90">
        <v>0</v>
      </c>
      <c r="AR55" s="90">
        <v>0</v>
      </c>
      <c r="AS55" s="90">
        <v>0</v>
      </c>
      <c r="AT55" s="90">
        <v>0</v>
      </c>
      <c r="AU55" s="90">
        <v>0</v>
      </c>
      <c r="AV55" s="90">
        <v>0</v>
      </c>
      <c r="AW55" s="90">
        <v>-126.98</v>
      </c>
      <c r="AX55" s="90"/>
      <c r="AY55" s="91">
        <f>ROUND(SUM(AH55:AX55),5)</f>
        <v>0</v>
      </c>
      <c r="AZ55" s="91">
        <v>0</v>
      </c>
      <c r="BA55" s="91">
        <v>0</v>
      </c>
      <c r="BB55" s="92"/>
    </row>
    <row r="56" spans="1:54" x14ac:dyDescent="0.3">
      <c r="A56" s="50"/>
      <c r="B56" s="50"/>
      <c r="C56" s="50"/>
      <c r="D56" s="50"/>
      <c r="E56" s="50"/>
      <c r="F56" s="50" t="s">
        <v>114</v>
      </c>
      <c r="G56" s="50"/>
      <c r="H56" s="51">
        <f t="shared" ref="H56:P56" si="22">ROUND(SUM(H53:H55),5)</f>
        <v>1363.28</v>
      </c>
      <c r="I56" s="51">
        <f t="shared" si="22"/>
        <v>2493.0500000000002</v>
      </c>
      <c r="J56" s="51">
        <f t="shared" si="22"/>
        <v>30.56</v>
      </c>
      <c r="K56" s="51">
        <f t="shared" si="22"/>
        <v>1950.84</v>
      </c>
      <c r="L56" s="51">
        <f t="shared" si="22"/>
        <v>1313.48</v>
      </c>
      <c r="M56" s="51">
        <f t="shared" si="22"/>
        <v>1320.95</v>
      </c>
      <c r="N56" s="51">
        <f t="shared" si="22"/>
        <v>1321.44</v>
      </c>
      <c r="O56" s="51">
        <f t="shared" si="22"/>
        <v>1329.6</v>
      </c>
      <c r="P56" s="51">
        <f t="shared" si="22"/>
        <v>1319.97</v>
      </c>
      <c r="Q56" s="51">
        <f>ROUND(SUM(Q53:Q55),5)</f>
        <v>1985.98</v>
      </c>
      <c r="R56" s="51">
        <f>ROUND(SUM(R53:R55),5)</f>
        <v>1328.89</v>
      </c>
      <c r="S56" s="51">
        <f>ROUND(SUM(S53:S55),5)</f>
        <v>1197.02</v>
      </c>
      <c r="T56" s="51"/>
      <c r="U56" s="51">
        <f>ROUND(SUM(H56:T56),5)</f>
        <v>16955.060000000001</v>
      </c>
      <c r="V56" s="51">
        <f>ROUND(SUM(V53:V55),5)</f>
        <v>21000</v>
      </c>
      <c r="W56" s="51">
        <f>ROUND(SUM(W53:W55),5)</f>
        <v>23500</v>
      </c>
      <c r="AB56" s="86"/>
      <c r="AC56" s="86"/>
      <c r="AD56" s="86"/>
      <c r="AE56" s="86"/>
      <c r="AF56" s="86" t="s">
        <v>114</v>
      </c>
      <c r="AG56" s="86"/>
      <c r="AH56" s="87"/>
      <c r="AI56" s="87"/>
      <c r="AJ56" s="87"/>
      <c r="AK56" s="87"/>
      <c r="AL56" s="87">
        <f t="shared" ref="AL56:AW56" si="23">ROUND(SUM(AL53:AL55),5)</f>
        <v>1419.28</v>
      </c>
      <c r="AM56" s="87">
        <f t="shared" si="23"/>
        <v>2353.15</v>
      </c>
      <c r="AN56" s="87">
        <f t="shared" si="23"/>
        <v>-0.01</v>
      </c>
      <c r="AO56" s="87">
        <f t="shared" si="23"/>
        <v>2195.9699999999998</v>
      </c>
      <c r="AP56" s="87">
        <f t="shared" si="23"/>
        <v>1217.4100000000001</v>
      </c>
      <c r="AQ56" s="87">
        <f t="shared" si="23"/>
        <v>1220.48</v>
      </c>
      <c r="AR56" s="87">
        <f t="shared" si="23"/>
        <v>1228.23</v>
      </c>
      <c r="AS56" s="87">
        <f t="shared" si="23"/>
        <v>1225.46</v>
      </c>
      <c r="AT56" s="87">
        <f t="shared" si="23"/>
        <v>1234.52</v>
      </c>
      <c r="AU56" s="87">
        <f t="shared" si="23"/>
        <v>1839.28</v>
      </c>
      <c r="AV56" s="87">
        <f t="shared" si="23"/>
        <v>1239.45</v>
      </c>
      <c r="AW56" s="87">
        <f t="shared" si="23"/>
        <v>1238.3599999999999</v>
      </c>
      <c r="AX56" s="87"/>
      <c r="AY56" s="88">
        <f>ROUND(SUM(AH56:AX56),5)</f>
        <v>16411.580000000002</v>
      </c>
      <c r="AZ56" s="88">
        <f>ROUND(SUM(AZ53:AZ55),5)</f>
        <v>16100</v>
      </c>
      <c r="BA56" s="88">
        <f>ROUND(SUM(BA53:BA55),5)</f>
        <v>21000</v>
      </c>
      <c r="BB56" s="89"/>
    </row>
    <row r="57" spans="1:54" x14ac:dyDescent="0.3">
      <c r="A57" s="50"/>
      <c r="B57" s="50"/>
      <c r="C57" s="50"/>
      <c r="D57" s="50"/>
      <c r="E57" s="50"/>
      <c r="F57" s="50" t="s">
        <v>115</v>
      </c>
      <c r="G57" s="50"/>
      <c r="H57" s="51"/>
      <c r="I57" s="51"/>
      <c r="J57" s="51"/>
      <c r="K57" s="51"/>
      <c r="L57" s="51"/>
      <c r="M57" s="51"/>
      <c r="N57" s="51"/>
      <c r="O57" s="51"/>
      <c r="P57" s="51"/>
      <c r="Q57" s="51"/>
      <c r="R57" s="51"/>
      <c r="S57" s="51"/>
      <c r="T57" s="51"/>
      <c r="U57" s="51"/>
      <c r="V57" s="51"/>
      <c r="W57" s="51"/>
      <c r="AB57" s="86"/>
      <c r="AC57" s="86"/>
      <c r="AD57" s="86"/>
      <c r="AE57" s="86"/>
      <c r="AF57" s="86" t="s">
        <v>115</v>
      </c>
      <c r="AG57" s="86"/>
      <c r="AH57" s="87"/>
      <c r="AI57" s="87"/>
      <c r="AJ57" s="87"/>
      <c r="AK57" s="87"/>
      <c r="AL57" s="87"/>
      <c r="AM57" s="87"/>
      <c r="AN57" s="87"/>
      <c r="AO57" s="87"/>
      <c r="AP57" s="87"/>
      <c r="AQ57" s="87"/>
      <c r="AR57" s="87"/>
      <c r="AS57" s="87"/>
      <c r="AT57" s="87"/>
      <c r="AU57" s="87"/>
      <c r="AV57" s="87"/>
      <c r="AW57" s="87"/>
      <c r="AX57" s="87"/>
      <c r="AY57" s="88"/>
      <c r="AZ57" s="88"/>
      <c r="BA57" s="88"/>
      <c r="BB57" s="89"/>
    </row>
    <row r="58" spans="1:54" ht="21.6" x14ac:dyDescent="0.3">
      <c r="A58" s="50"/>
      <c r="B58" s="50"/>
      <c r="C58" s="50"/>
      <c r="D58" s="50"/>
      <c r="E58" s="50"/>
      <c r="F58" s="50"/>
      <c r="G58" s="50" t="s">
        <v>116</v>
      </c>
      <c r="H58" s="51">
        <v>543.91</v>
      </c>
      <c r="I58" s="51">
        <v>1118.73</v>
      </c>
      <c r="J58" s="51">
        <v>1323.72</v>
      </c>
      <c r="K58" s="51">
        <v>1471.73</v>
      </c>
      <c r="L58" s="51">
        <v>1019.6</v>
      </c>
      <c r="M58" s="51">
        <v>1547.22</v>
      </c>
      <c r="N58" s="51">
        <v>2208.17</v>
      </c>
      <c r="O58" s="51">
        <v>1186.3499999999999</v>
      </c>
      <c r="P58" s="51">
        <v>1171.55</v>
      </c>
      <c r="Q58" s="51">
        <v>1756.31</v>
      </c>
      <c r="R58" s="51">
        <v>1192.5</v>
      </c>
      <c r="S58" s="51">
        <v>1929.56</v>
      </c>
      <c r="T58" s="51"/>
      <c r="U58" s="51">
        <f>ROUND(SUM(H58:T58),5)</f>
        <v>16469.349999999999</v>
      </c>
      <c r="V58" s="51">
        <v>18771</v>
      </c>
      <c r="W58" s="51">
        <v>21500</v>
      </c>
      <c r="X58" s="68" t="s">
        <v>208</v>
      </c>
      <c r="AB58" s="86"/>
      <c r="AC58" s="86"/>
      <c r="AD58" s="86"/>
      <c r="AE58" s="86"/>
      <c r="AF58" s="86"/>
      <c r="AG58" s="86" t="s">
        <v>116</v>
      </c>
      <c r="AH58" s="87"/>
      <c r="AI58" s="87"/>
      <c r="AJ58" s="87"/>
      <c r="AK58" s="87"/>
      <c r="AL58" s="87">
        <v>559.08000000000004</v>
      </c>
      <c r="AM58" s="87">
        <v>1068.06</v>
      </c>
      <c r="AN58" s="87">
        <v>1141.78</v>
      </c>
      <c r="AO58" s="87">
        <v>1828.14</v>
      </c>
      <c r="AP58" s="87">
        <v>890.47</v>
      </c>
      <c r="AQ58" s="87">
        <v>1187.93</v>
      </c>
      <c r="AR58" s="87">
        <v>1531.32</v>
      </c>
      <c r="AS58" s="87">
        <v>1084.8</v>
      </c>
      <c r="AT58" s="87">
        <v>1092.3599999999999</v>
      </c>
      <c r="AU58" s="87">
        <v>2075.37</v>
      </c>
      <c r="AV58" s="87">
        <v>1667.7</v>
      </c>
      <c r="AW58" s="87">
        <v>1411.65</v>
      </c>
      <c r="AX58" s="87"/>
      <c r="AY58" s="88">
        <f>ROUND(SUM(AH58:AX58),5)</f>
        <v>15538.66</v>
      </c>
      <c r="AZ58" s="88">
        <v>19000</v>
      </c>
      <c r="BA58" s="88">
        <f>ROUND((BA43+BA45+BA46+BA93)*0.062,0)</f>
        <v>18771</v>
      </c>
      <c r="BB58" s="89" t="s">
        <v>208</v>
      </c>
    </row>
    <row r="59" spans="1:54" ht="22.2" thickBot="1" x14ac:dyDescent="0.35">
      <c r="A59" s="50"/>
      <c r="B59" s="50"/>
      <c r="C59" s="50"/>
      <c r="D59" s="50"/>
      <c r="E59" s="50"/>
      <c r="F59" s="50"/>
      <c r="G59" s="50" t="s">
        <v>117</v>
      </c>
      <c r="H59" s="52">
        <v>127.2</v>
      </c>
      <c r="I59" s="52">
        <v>261.66000000000003</v>
      </c>
      <c r="J59" s="52">
        <v>309.60000000000002</v>
      </c>
      <c r="K59" s="52">
        <v>344.23</v>
      </c>
      <c r="L59" s="52">
        <v>238.47</v>
      </c>
      <c r="M59" s="52">
        <v>361.87</v>
      </c>
      <c r="N59" s="52">
        <v>516.42999999999995</v>
      </c>
      <c r="O59" s="52">
        <v>277.47000000000003</v>
      </c>
      <c r="P59" s="52">
        <v>274.01</v>
      </c>
      <c r="Q59" s="52">
        <v>410.79</v>
      </c>
      <c r="R59" s="52">
        <v>278.92</v>
      </c>
      <c r="S59" s="52">
        <v>451.33</v>
      </c>
      <c r="T59" s="52"/>
      <c r="U59" s="52">
        <f>ROUND(SUM(H59:T59),5)</f>
        <v>3851.98</v>
      </c>
      <c r="V59" s="52">
        <v>4390</v>
      </c>
      <c r="W59" s="52">
        <v>5000</v>
      </c>
      <c r="X59" s="68" t="s">
        <v>208</v>
      </c>
      <c r="AB59" s="86"/>
      <c r="AC59" s="86"/>
      <c r="AD59" s="86"/>
      <c r="AE59" s="86"/>
      <c r="AF59" s="86"/>
      <c r="AG59" s="86" t="s">
        <v>117</v>
      </c>
      <c r="AH59" s="90"/>
      <c r="AI59" s="90"/>
      <c r="AJ59" s="90"/>
      <c r="AK59" s="90"/>
      <c r="AL59" s="90">
        <v>130.76</v>
      </c>
      <c r="AM59" s="90">
        <v>249.81</v>
      </c>
      <c r="AN59" s="90">
        <v>267.06</v>
      </c>
      <c r="AO59" s="90">
        <v>427.6</v>
      </c>
      <c r="AP59" s="90">
        <v>208.26</v>
      </c>
      <c r="AQ59" s="90">
        <v>277.83999999999997</v>
      </c>
      <c r="AR59" s="90">
        <v>358.11</v>
      </c>
      <c r="AS59" s="90">
        <v>253.72</v>
      </c>
      <c r="AT59" s="90">
        <v>255.51</v>
      </c>
      <c r="AU59" s="90">
        <v>485.42</v>
      </c>
      <c r="AV59" s="90">
        <v>390.03</v>
      </c>
      <c r="AW59" s="90">
        <v>330.2</v>
      </c>
      <c r="AX59" s="90"/>
      <c r="AY59" s="91">
        <f>ROUND(SUM(AH59:AX59),5)</f>
        <v>3634.32</v>
      </c>
      <c r="AZ59" s="91">
        <v>4000</v>
      </c>
      <c r="BA59" s="91">
        <f>ROUND((BA43+BA45+BA46+BA93)*0.0145,0)</f>
        <v>4390</v>
      </c>
      <c r="BB59" s="92" t="s">
        <v>208</v>
      </c>
    </row>
    <row r="60" spans="1:54" x14ac:dyDescent="0.3">
      <c r="A60" s="50"/>
      <c r="B60" s="50"/>
      <c r="C60" s="50"/>
      <c r="D60" s="50"/>
      <c r="E60" s="50"/>
      <c r="F60" s="50" t="s">
        <v>118</v>
      </c>
      <c r="G60" s="50"/>
      <c r="H60" s="51">
        <f t="shared" ref="H60:P60" si="24">ROUND(SUM(H57:H59),5)</f>
        <v>671.11</v>
      </c>
      <c r="I60" s="51">
        <f t="shared" si="24"/>
        <v>1380.39</v>
      </c>
      <c r="J60" s="51">
        <f t="shared" si="24"/>
        <v>1633.32</v>
      </c>
      <c r="K60" s="51">
        <f t="shared" si="24"/>
        <v>1815.96</v>
      </c>
      <c r="L60" s="51">
        <f t="shared" si="24"/>
        <v>1258.07</v>
      </c>
      <c r="M60" s="51">
        <f t="shared" si="24"/>
        <v>1909.09</v>
      </c>
      <c r="N60" s="51">
        <f t="shared" si="24"/>
        <v>2724.6</v>
      </c>
      <c r="O60" s="51">
        <f t="shared" si="24"/>
        <v>1463.82</v>
      </c>
      <c r="P60" s="51">
        <f t="shared" si="24"/>
        <v>1445.56</v>
      </c>
      <c r="Q60" s="51">
        <f>ROUND(SUM(Q57:Q59),5)</f>
        <v>2167.1</v>
      </c>
      <c r="R60" s="51">
        <f>ROUND(SUM(R57:R59),5)</f>
        <v>1471.42</v>
      </c>
      <c r="S60" s="51">
        <f>ROUND(SUM(S57:S59),5)</f>
        <v>2380.89</v>
      </c>
      <c r="T60" s="51"/>
      <c r="U60" s="51">
        <f>ROUND(SUM(H60:T60),5)</f>
        <v>20321.330000000002</v>
      </c>
      <c r="V60" s="51">
        <f>ROUND(SUM(V57:V59),5)</f>
        <v>23161</v>
      </c>
      <c r="W60" s="51">
        <f>ROUND(SUM(W57:W59),5)</f>
        <v>26500</v>
      </c>
      <c r="AB60" s="86"/>
      <c r="AC60" s="86"/>
      <c r="AD60" s="86"/>
      <c r="AE60" s="86"/>
      <c r="AF60" s="86" t="s">
        <v>118</v>
      </c>
      <c r="AG60" s="86"/>
      <c r="AH60" s="87"/>
      <c r="AI60" s="87"/>
      <c r="AJ60" s="87"/>
      <c r="AK60" s="87"/>
      <c r="AL60" s="87">
        <f t="shared" ref="AL60:AW60" si="25">ROUND(SUM(AL57:AL59),5)</f>
        <v>689.84</v>
      </c>
      <c r="AM60" s="87">
        <f t="shared" si="25"/>
        <v>1317.87</v>
      </c>
      <c r="AN60" s="87">
        <f t="shared" si="25"/>
        <v>1408.84</v>
      </c>
      <c r="AO60" s="87">
        <f t="shared" si="25"/>
        <v>2255.7399999999998</v>
      </c>
      <c r="AP60" s="87">
        <f t="shared" si="25"/>
        <v>1098.73</v>
      </c>
      <c r="AQ60" s="87">
        <f t="shared" si="25"/>
        <v>1465.77</v>
      </c>
      <c r="AR60" s="87">
        <f t="shared" si="25"/>
        <v>1889.43</v>
      </c>
      <c r="AS60" s="87">
        <f t="shared" si="25"/>
        <v>1338.52</v>
      </c>
      <c r="AT60" s="87">
        <f t="shared" si="25"/>
        <v>1347.87</v>
      </c>
      <c r="AU60" s="87">
        <f t="shared" si="25"/>
        <v>2560.79</v>
      </c>
      <c r="AV60" s="87">
        <f t="shared" si="25"/>
        <v>2057.73</v>
      </c>
      <c r="AW60" s="87">
        <f t="shared" si="25"/>
        <v>1741.85</v>
      </c>
      <c r="AX60" s="87"/>
      <c r="AY60" s="88">
        <f>ROUND(SUM(AH60:AX60),5)</f>
        <v>19172.98</v>
      </c>
      <c r="AZ60" s="88">
        <f>ROUND(SUM(AZ57:AZ59),5)</f>
        <v>23000</v>
      </c>
      <c r="BA60" s="88">
        <f>ROUND(SUM(BA57:BA59),5)</f>
        <v>23161</v>
      </c>
      <c r="BB60" s="89"/>
    </row>
    <row r="61" spans="1:54" x14ac:dyDescent="0.3">
      <c r="A61" s="50"/>
      <c r="B61" s="50"/>
      <c r="C61" s="50"/>
      <c r="D61" s="50"/>
      <c r="E61" s="50"/>
      <c r="F61" s="50" t="s">
        <v>119</v>
      </c>
      <c r="G61" s="50"/>
      <c r="H61" s="51"/>
      <c r="I61" s="51"/>
      <c r="J61" s="51"/>
      <c r="K61" s="51"/>
      <c r="L61" s="51"/>
      <c r="M61" s="51"/>
      <c r="N61" s="51"/>
      <c r="O61" s="51"/>
      <c r="P61" s="51"/>
      <c r="Q61" s="51"/>
      <c r="R61" s="51"/>
      <c r="S61" s="51"/>
      <c r="T61" s="51"/>
      <c r="U61" s="51"/>
      <c r="V61" s="51"/>
      <c r="W61" s="51"/>
      <c r="AB61" s="86"/>
      <c r="AC61" s="86"/>
      <c r="AD61" s="86"/>
      <c r="AE61" s="86"/>
      <c r="AF61" s="86" t="s">
        <v>119</v>
      </c>
      <c r="AG61" s="86"/>
      <c r="AH61" s="87"/>
      <c r="AI61" s="87"/>
      <c r="AJ61" s="87"/>
      <c r="AK61" s="87"/>
      <c r="AL61" s="87"/>
      <c r="AM61" s="87"/>
      <c r="AN61" s="87"/>
      <c r="AO61" s="87"/>
      <c r="AP61" s="87"/>
      <c r="AQ61" s="87"/>
      <c r="AR61" s="87"/>
      <c r="AS61" s="87"/>
      <c r="AT61" s="87"/>
      <c r="AU61" s="87"/>
      <c r="AV61" s="87"/>
      <c r="AW61" s="87"/>
      <c r="AX61" s="87"/>
      <c r="AY61" s="88"/>
      <c r="AZ61" s="88"/>
      <c r="BA61" s="88"/>
      <c r="BB61" s="89"/>
    </row>
    <row r="62" spans="1:54" x14ac:dyDescent="0.3">
      <c r="A62" s="50"/>
      <c r="B62" s="50"/>
      <c r="C62" s="50"/>
      <c r="D62" s="50"/>
      <c r="E62" s="50"/>
      <c r="F62" s="50"/>
      <c r="G62" s="50" t="s">
        <v>120</v>
      </c>
      <c r="H62" s="51">
        <v>7851.47</v>
      </c>
      <c r="I62" s="51">
        <v>3925.93</v>
      </c>
      <c r="J62" s="51">
        <v>0</v>
      </c>
      <c r="K62" s="51">
        <v>3925.93</v>
      </c>
      <c r="L62" s="51">
        <v>3254.42</v>
      </c>
      <c r="M62" s="51">
        <v>3254.42</v>
      </c>
      <c r="N62" s="51">
        <v>3379.51</v>
      </c>
      <c r="O62" s="51">
        <v>3379.51</v>
      </c>
      <c r="P62" s="51">
        <v>3379.51</v>
      </c>
      <c r="Q62" s="51">
        <v>3379.51</v>
      </c>
      <c r="R62" s="51">
        <v>3379.51</v>
      </c>
      <c r="S62" s="51">
        <v>3379.51</v>
      </c>
      <c r="T62" s="51"/>
      <c r="U62" s="51">
        <f>ROUND(SUM(H62:T62),5)</f>
        <v>42489.23</v>
      </c>
      <c r="V62" s="67">
        <v>60000</v>
      </c>
      <c r="W62" s="67">
        <v>52000</v>
      </c>
      <c r="X62" s="68" t="s">
        <v>310</v>
      </c>
      <c r="AB62" s="86"/>
      <c r="AC62" s="86"/>
      <c r="AD62" s="86"/>
      <c r="AE62" s="86"/>
      <c r="AF62" s="86"/>
      <c r="AG62" s="86" t="s">
        <v>120</v>
      </c>
      <c r="AH62" s="87"/>
      <c r="AI62" s="87"/>
      <c r="AJ62" s="87"/>
      <c r="AK62" s="87"/>
      <c r="AL62" s="87">
        <v>3878.65</v>
      </c>
      <c r="AM62" s="87">
        <v>3212.66</v>
      </c>
      <c r="AN62" s="87">
        <v>0</v>
      </c>
      <c r="AO62" s="87">
        <v>3212.66</v>
      </c>
      <c r="AP62" s="87">
        <v>3212.66</v>
      </c>
      <c r="AQ62" s="87">
        <v>3212.66</v>
      </c>
      <c r="AR62" s="87">
        <v>3254.09</v>
      </c>
      <c r="AS62" s="87">
        <v>3254.09</v>
      </c>
      <c r="AT62" s="87">
        <v>4596.99</v>
      </c>
      <c r="AU62" s="87">
        <v>3925.54</v>
      </c>
      <c r="AV62" s="87">
        <v>5212.17</v>
      </c>
      <c r="AW62" s="87">
        <v>8800.1</v>
      </c>
      <c r="AX62" s="87"/>
      <c r="AY62" s="88">
        <f>ROUND(SUM(AH62:AX62),5)</f>
        <v>45772.27</v>
      </c>
      <c r="AZ62" s="88">
        <v>60000</v>
      </c>
      <c r="BA62" s="88">
        <v>60000</v>
      </c>
      <c r="BB62" s="89" t="s">
        <v>207</v>
      </c>
    </row>
    <row r="63" spans="1:54" x14ac:dyDescent="0.3">
      <c r="A63" s="50"/>
      <c r="B63" s="50"/>
      <c r="C63" s="50"/>
      <c r="D63" s="50"/>
      <c r="E63" s="50"/>
      <c r="F63" s="50"/>
      <c r="G63" s="50" t="s">
        <v>121</v>
      </c>
      <c r="H63" s="51">
        <v>147.69</v>
      </c>
      <c r="I63" s="51">
        <v>0</v>
      </c>
      <c r="J63" s="51">
        <v>0</v>
      </c>
      <c r="K63" s="51">
        <v>49.23</v>
      </c>
      <c r="L63" s="51">
        <v>71.760000000000005</v>
      </c>
      <c r="M63" s="51">
        <v>80.66</v>
      </c>
      <c r="N63" s="51">
        <v>40.33</v>
      </c>
      <c r="O63" s="51">
        <v>0</v>
      </c>
      <c r="P63" s="51">
        <v>80.66</v>
      </c>
      <c r="Q63" s="51">
        <v>0</v>
      </c>
      <c r="R63" s="51">
        <v>49.23</v>
      </c>
      <c r="S63" s="51">
        <v>65.28</v>
      </c>
      <c r="T63" s="51"/>
      <c r="U63" s="51">
        <f>ROUND(SUM(H63:T63),5)</f>
        <v>584.84</v>
      </c>
      <c r="V63" s="67">
        <v>1000</v>
      </c>
      <c r="W63" s="67">
        <v>800</v>
      </c>
      <c r="X63" s="68" t="s">
        <v>207</v>
      </c>
      <c r="AB63" s="86"/>
      <c r="AC63" s="86"/>
      <c r="AD63" s="86"/>
      <c r="AE63" s="86"/>
      <c r="AF63" s="86"/>
      <c r="AG63" s="86" t="s">
        <v>121</v>
      </c>
      <c r="AH63" s="87"/>
      <c r="AI63" s="87"/>
      <c r="AJ63" s="87"/>
      <c r="AK63" s="87"/>
      <c r="AL63" s="87">
        <v>46.72</v>
      </c>
      <c r="AM63" s="87">
        <v>40.33</v>
      </c>
      <c r="AN63" s="87">
        <v>40.33</v>
      </c>
      <c r="AO63" s="87">
        <v>40.33</v>
      </c>
      <c r="AP63" s="87">
        <v>40.33</v>
      </c>
      <c r="AQ63" s="87">
        <v>40.33</v>
      </c>
      <c r="AR63" s="87">
        <v>49.23</v>
      </c>
      <c r="AS63" s="87">
        <v>0</v>
      </c>
      <c r="AT63" s="87">
        <v>98.46</v>
      </c>
      <c r="AU63" s="87">
        <v>49.23</v>
      </c>
      <c r="AV63" s="87">
        <v>65.28</v>
      </c>
      <c r="AW63" s="87">
        <v>112</v>
      </c>
      <c r="AX63" s="87"/>
      <c r="AY63" s="88">
        <f>ROUND(SUM(AH63:AX63),5)</f>
        <v>622.57000000000005</v>
      </c>
      <c r="AZ63" s="88">
        <v>850</v>
      </c>
      <c r="BA63" s="88">
        <v>1000</v>
      </c>
      <c r="BB63" s="89" t="s">
        <v>207</v>
      </c>
    </row>
    <row r="64" spans="1:54" ht="15" thickBot="1" x14ac:dyDescent="0.35">
      <c r="A64" s="50"/>
      <c r="B64" s="50"/>
      <c r="C64" s="50"/>
      <c r="D64" s="50"/>
      <c r="E64" s="50"/>
      <c r="F64" s="50"/>
      <c r="G64" s="50" t="s">
        <v>122</v>
      </c>
      <c r="H64" s="52">
        <v>664.72</v>
      </c>
      <c r="I64" s="52">
        <v>332.36</v>
      </c>
      <c r="J64" s="52">
        <v>272.48</v>
      </c>
      <c r="K64" s="52">
        <v>272.48</v>
      </c>
      <c r="L64" s="52">
        <v>272.48</v>
      </c>
      <c r="M64" s="52">
        <v>0</v>
      </c>
      <c r="N64" s="52">
        <v>544.96</v>
      </c>
      <c r="O64" s="52">
        <v>0</v>
      </c>
      <c r="P64" s="52">
        <v>558.6</v>
      </c>
      <c r="Q64" s="52">
        <v>286.12</v>
      </c>
      <c r="R64" s="52">
        <v>286.12</v>
      </c>
      <c r="S64" s="52">
        <v>286.12</v>
      </c>
      <c r="T64" s="52"/>
      <c r="U64" s="52">
        <f>ROUND(SUM(H64:T64),5)</f>
        <v>3776.44</v>
      </c>
      <c r="V64" s="69">
        <v>3800</v>
      </c>
      <c r="W64" s="69">
        <v>3200</v>
      </c>
      <c r="X64" s="68" t="s">
        <v>207</v>
      </c>
      <c r="AB64" s="86"/>
      <c r="AC64" s="86"/>
      <c r="AD64" s="86"/>
      <c r="AE64" s="86"/>
      <c r="AF64" s="86"/>
      <c r="AG64" s="86" t="s">
        <v>122</v>
      </c>
      <c r="AH64" s="90"/>
      <c r="AI64" s="90"/>
      <c r="AJ64" s="90"/>
      <c r="AK64" s="90"/>
      <c r="AL64" s="90">
        <v>332.36</v>
      </c>
      <c r="AM64" s="90">
        <v>272.48</v>
      </c>
      <c r="AN64" s="90">
        <v>272.48</v>
      </c>
      <c r="AO64" s="90">
        <v>272.48</v>
      </c>
      <c r="AP64" s="90">
        <v>272.48</v>
      </c>
      <c r="AQ64" s="90">
        <v>272.48</v>
      </c>
      <c r="AR64" s="90">
        <v>332.36</v>
      </c>
      <c r="AS64" s="90">
        <v>0</v>
      </c>
      <c r="AT64" s="90">
        <v>664.72</v>
      </c>
      <c r="AU64" s="90">
        <v>332.36</v>
      </c>
      <c r="AV64" s="90">
        <v>447.04</v>
      </c>
      <c r="AW64" s="90">
        <v>429.76</v>
      </c>
      <c r="AX64" s="90"/>
      <c r="AY64" s="91">
        <f>ROUND(SUM(AH64:AX64),5)</f>
        <v>3901</v>
      </c>
      <c r="AZ64" s="91">
        <v>4100</v>
      </c>
      <c r="BA64" s="91">
        <v>3800</v>
      </c>
      <c r="BB64" s="92" t="s">
        <v>207</v>
      </c>
    </row>
    <row r="65" spans="1:54" x14ac:dyDescent="0.3">
      <c r="A65" s="50"/>
      <c r="B65" s="50"/>
      <c r="C65" s="50"/>
      <c r="D65" s="50"/>
      <c r="E65" s="50"/>
      <c r="F65" s="50" t="s">
        <v>123</v>
      </c>
      <c r="G65" s="50"/>
      <c r="H65" s="51">
        <f t="shared" ref="H65:P65" si="26">ROUND(SUM(H61:H64),5)</f>
        <v>8663.8799999999992</v>
      </c>
      <c r="I65" s="51">
        <f t="shared" si="26"/>
        <v>4258.29</v>
      </c>
      <c r="J65" s="51">
        <f t="shared" si="26"/>
        <v>272.48</v>
      </c>
      <c r="K65" s="51">
        <f t="shared" si="26"/>
        <v>4247.6400000000003</v>
      </c>
      <c r="L65" s="51">
        <f t="shared" si="26"/>
        <v>3598.66</v>
      </c>
      <c r="M65" s="51">
        <f t="shared" si="26"/>
        <v>3335.08</v>
      </c>
      <c r="N65" s="51">
        <f t="shared" si="26"/>
        <v>3964.8</v>
      </c>
      <c r="O65" s="51">
        <f t="shared" si="26"/>
        <v>3379.51</v>
      </c>
      <c r="P65" s="51">
        <f t="shared" si="26"/>
        <v>4018.77</v>
      </c>
      <c r="Q65" s="51">
        <f>ROUND(SUM(Q61:Q64),5)</f>
        <v>3665.63</v>
      </c>
      <c r="R65" s="51">
        <f>ROUND(SUM(R61:R64),5)</f>
        <v>3714.86</v>
      </c>
      <c r="S65" s="51">
        <f>ROUND(SUM(S61:S64),5)</f>
        <v>3730.91</v>
      </c>
      <c r="T65" s="51"/>
      <c r="U65" s="51">
        <f>ROUND(SUM(H65:T65),5)</f>
        <v>46850.51</v>
      </c>
      <c r="V65" s="51">
        <f>ROUND(SUM(V61:V64),5)</f>
        <v>64800</v>
      </c>
      <c r="W65" s="51">
        <f>ROUND(SUM(W61:W64),5)</f>
        <v>56000</v>
      </c>
      <c r="AB65" s="86"/>
      <c r="AC65" s="86"/>
      <c r="AD65" s="86"/>
      <c r="AE65" s="86"/>
      <c r="AF65" s="86" t="s">
        <v>123</v>
      </c>
      <c r="AG65" s="86"/>
      <c r="AH65" s="87"/>
      <c r="AI65" s="87"/>
      <c r="AJ65" s="87"/>
      <c r="AK65" s="87"/>
      <c r="AL65" s="87">
        <f t="shared" ref="AL65:AW65" si="27">ROUND(SUM(AL61:AL64),5)</f>
        <v>4257.7299999999996</v>
      </c>
      <c r="AM65" s="87">
        <f t="shared" si="27"/>
        <v>3525.47</v>
      </c>
      <c r="AN65" s="87">
        <f t="shared" si="27"/>
        <v>312.81</v>
      </c>
      <c r="AO65" s="87">
        <f t="shared" si="27"/>
        <v>3525.47</v>
      </c>
      <c r="AP65" s="87">
        <f t="shared" si="27"/>
        <v>3525.47</v>
      </c>
      <c r="AQ65" s="87">
        <f t="shared" si="27"/>
        <v>3525.47</v>
      </c>
      <c r="AR65" s="87">
        <f t="shared" si="27"/>
        <v>3635.68</v>
      </c>
      <c r="AS65" s="87">
        <f t="shared" si="27"/>
        <v>3254.09</v>
      </c>
      <c r="AT65" s="87">
        <f t="shared" si="27"/>
        <v>5360.17</v>
      </c>
      <c r="AU65" s="87">
        <f t="shared" si="27"/>
        <v>4307.13</v>
      </c>
      <c r="AV65" s="87">
        <f t="shared" si="27"/>
        <v>5724.49</v>
      </c>
      <c r="AW65" s="87">
        <f t="shared" si="27"/>
        <v>9341.86</v>
      </c>
      <c r="AX65" s="87"/>
      <c r="AY65" s="88">
        <f>ROUND(SUM(AH65:AX65),5)</f>
        <v>50295.839999999997</v>
      </c>
      <c r="AZ65" s="88">
        <f>ROUND(SUM(AZ61:AZ64),5)</f>
        <v>64950</v>
      </c>
      <c r="BA65" s="88">
        <f>ROUND(SUM(BA61:BA64),5)</f>
        <v>64800</v>
      </c>
      <c r="BB65" s="89"/>
    </row>
    <row r="66" spans="1:54" x14ac:dyDescent="0.3">
      <c r="A66" s="50"/>
      <c r="B66" s="50"/>
      <c r="C66" s="50"/>
      <c r="D66" s="50"/>
      <c r="E66" s="50"/>
      <c r="F66" s="50" t="s">
        <v>124</v>
      </c>
      <c r="G66" s="50"/>
      <c r="H66" s="51"/>
      <c r="I66" s="51"/>
      <c r="J66" s="51"/>
      <c r="K66" s="51"/>
      <c r="L66" s="51"/>
      <c r="M66" s="51"/>
      <c r="N66" s="51"/>
      <c r="O66" s="51"/>
      <c r="P66" s="51"/>
      <c r="Q66" s="51"/>
      <c r="R66" s="51"/>
      <c r="S66" s="51"/>
      <c r="T66" s="51"/>
      <c r="U66" s="51"/>
      <c r="V66" s="51"/>
      <c r="W66" s="51"/>
      <c r="AB66" s="86"/>
      <c r="AC66" s="86"/>
      <c r="AD66" s="86"/>
      <c r="AE66" s="86"/>
      <c r="AF66" s="86" t="s">
        <v>124</v>
      </c>
      <c r="AG66" s="86"/>
      <c r="AH66" s="87"/>
      <c r="AI66" s="87"/>
      <c r="AJ66" s="87"/>
      <c r="AK66" s="87"/>
      <c r="AL66" s="87"/>
      <c r="AM66" s="87"/>
      <c r="AN66" s="87"/>
      <c r="AO66" s="87"/>
      <c r="AP66" s="87"/>
      <c r="AQ66" s="87"/>
      <c r="AR66" s="87"/>
      <c r="AS66" s="87"/>
      <c r="AT66" s="87"/>
      <c r="AU66" s="87"/>
      <c r="AV66" s="87"/>
      <c r="AW66" s="87"/>
      <c r="AX66" s="87"/>
      <c r="AY66" s="88"/>
      <c r="AZ66" s="88"/>
      <c r="BA66" s="88"/>
      <c r="BB66" s="89"/>
    </row>
    <row r="67" spans="1:54" ht="31.8" x14ac:dyDescent="0.3">
      <c r="A67" s="50"/>
      <c r="B67" s="50"/>
      <c r="C67" s="50"/>
      <c r="D67" s="50"/>
      <c r="E67" s="50"/>
      <c r="F67" s="50"/>
      <c r="G67" s="50" t="s">
        <v>125</v>
      </c>
      <c r="H67" s="51">
        <v>920.16</v>
      </c>
      <c r="I67" s="51">
        <v>2249.3000000000002</v>
      </c>
      <c r="J67" s="51">
        <v>920.16</v>
      </c>
      <c r="K67" s="51">
        <v>920.16</v>
      </c>
      <c r="L67" s="51">
        <v>920.16</v>
      </c>
      <c r="M67" s="51">
        <v>920.16</v>
      </c>
      <c r="N67" s="51">
        <v>920.16</v>
      </c>
      <c r="O67" s="51">
        <v>920.16</v>
      </c>
      <c r="P67" s="51">
        <v>920.16</v>
      </c>
      <c r="Q67" s="51">
        <v>920.16</v>
      </c>
      <c r="R67" s="51">
        <v>920.16</v>
      </c>
      <c r="S67" s="51">
        <v>1042.3499999999999</v>
      </c>
      <c r="T67" s="51"/>
      <c r="U67" s="51">
        <f>ROUND(SUM(H67:T67),5)</f>
        <v>12493.25</v>
      </c>
      <c r="V67" s="67">
        <v>22000</v>
      </c>
      <c r="W67" s="67">
        <v>22000</v>
      </c>
      <c r="X67" s="68" t="s">
        <v>256</v>
      </c>
      <c r="AB67" s="86"/>
      <c r="AC67" s="86"/>
      <c r="AD67" s="86"/>
      <c r="AE67" s="86"/>
      <c r="AF67" s="86"/>
      <c r="AG67" s="86" t="s">
        <v>125</v>
      </c>
      <c r="AH67" s="87"/>
      <c r="AI67" s="87"/>
      <c r="AJ67" s="87"/>
      <c r="AK67" s="87"/>
      <c r="AL67" s="87">
        <v>1042.3699999999999</v>
      </c>
      <c r="AM67" s="87">
        <v>1042.3699999999999</v>
      </c>
      <c r="AN67" s="87">
        <v>3266.71</v>
      </c>
      <c r="AO67" s="87">
        <v>1042.3699999999999</v>
      </c>
      <c r="AP67" s="87">
        <v>1042.3699999999999</v>
      </c>
      <c r="AQ67" s="87">
        <v>1042.3699999999999</v>
      </c>
      <c r="AR67" s="87">
        <v>1042.3699999999999</v>
      </c>
      <c r="AS67" s="87">
        <v>1042.3699999999999</v>
      </c>
      <c r="AT67" s="87">
        <v>1042.3699999999999</v>
      </c>
      <c r="AU67" s="87">
        <v>1042.3699999999999</v>
      </c>
      <c r="AV67" s="87">
        <v>1590.57</v>
      </c>
      <c r="AW67" s="87">
        <v>1590.51</v>
      </c>
      <c r="AX67" s="87"/>
      <c r="AY67" s="88">
        <f>ROUND(SUM(AH67:AX67),5)</f>
        <v>15829.12</v>
      </c>
      <c r="AZ67" s="88">
        <v>17000</v>
      </c>
      <c r="BA67" s="88">
        <v>22000</v>
      </c>
      <c r="BB67" s="89" t="s">
        <v>256</v>
      </c>
    </row>
    <row r="68" spans="1:54" x14ac:dyDescent="0.3">
      <c r="A68" s="50"/>
      <c r="B68" s="50"/>
      <c r="C68" s="50"/>
      <c r="D68" s="50"/>
      <c r="E68" s="50"/>
      <c r="F68" s="50"/>
      <c r="G68" s="50" t="s">
        <v>199</v>
      </c>
      <c r="H68" s="51">
        <v>0</v>
      </c>
      <c r="I68" s="51">
        <v>0</v>
      </c>
      <c r="J68" s="51">
        <v>0</v>
      </c>
      <c r="K68" s="51">
        <v>0</v>
      </c>
      <c r="L68" s="51">
        <v>0</v>
      </c>
      <c r="M68" s="51">
        <v>0</v>
      </c>
      <c r="N68" s="51">
        <v>0</v>
      </c>
      <c r="O68" s="51">
        <v>0</v>
      </c>
      <c r="P68" s="51">
        <v>0</v>
      </c>
      <c r="Q68" s="51">
        <v>0</v>
      </c>
      <c r="R68" s="51">
        <v>0</v>
      </c>
      <c r="S68" s="51">
        <v>0</v>
      </c>
      <c r="T68" s="51">
        <v>0</v>
      </c>
      <c r="U68" s="51">
        <v>0</v>
      </c>
      <c r="V68" s="67">
        <v>1600</v>
      </c>
      <c r="W68" s="67">
        <v>1500</v>
      </c>
      <c r="AB68" s="86"/>
      <c r="AC68" s="86"/>
      <c r="AD68" s="86"/>
      <c r="AE68" s="86"/>
      <c r="AF68" s="86"/>
      <c r="AG68" s="86" t="s">
        <v>199</v>
      </c>
      <c r="AH68" s="87"/>
      <c r="AI68" s="87"/>
      <c r="AJ68" s="87"/>
      <c r="AK68" s="87"/>
      <c r="AL68" s="87">
        <v>0</v>
      </c>
      <c r="AM68" s="87">
        <v>0</v>
      </c>
      <c r="AN68" s="87">
        <v>0</v>
      </c>
      <c r="AO68" s="87">
        <v>0</v>
      </c>
      <c r="AP68" s="87">
        <v>0</v>
      </c>
      <c r="AQ68" s="87">
        <v>0</v>
      </c>
      <c r="AR68" s="87">
        <v>0</v>
      </c>
      <c r="AS68" s="87">
        <v>0</v>
      </c>
      <c r="AT68" s="87">
        <v>0</v>
      </c>
      <c r="AU68" s="87">
        <v>0</v>
      </c>
      <c r="AV68" s="87">
        <v>0</v>
      </c>
      <c r="AW68" s="87">
        <v>0</v>
      </c>
      <c r="AX68" s="87"/>
      <c r="AY68" s="88">
        <f>ROUND(SUM(AH68:AX68),5)</f>
        <v>0</v>
      </c>
      <c r="AZ68" s="88">
        <v>1600</v>
      </c>
      <c r="BA68" s="88">
        <v>1600</v>
      </c>
      <c r="BB68" s="89"/>
    </row>
    <row r="69" spans="1:54" ht="15" thickBot="1" x14ac:dyDescent="0.35">
      <c r="A69" s="50"/>
      <c r="B69" s="50"/>
      <c r="C69" s="50"/>
      <c r="D69" s="50"/>
      <c r="E69" s="50"/>
      <c r="F69" s="50"/>
      <c r="G69" s="50" t="s">
        <v>126</v>
      </c>
      <c r="H69" s="51">
        <v>0.75</v>
      </c>
      <c r="I69" s="51">
        <v>22.5</v>
      </c>
      <c r="J69" s="51">
        <v>22.5</v>
      </c>
      <c r="K69" s="51">
        <v>22.5</v>
      </c>
      <c r="L69" s="51">
        <v>25.85</v>
      </c>
      <c r="M69" s="51">
        <v>94.84</v>
      </c>
      <c r="N69" s="51">
        <v>477</v>
      </c>
      <c r="O69" s="51">
        <v>266.7</v>
      </c>
      <c r="P69" s="51">
        <v>140.5</v>
      </c>
      <c r="Q69" s="51">
        <v>23.32</v>
      </c>
      <c r="R69" s="51">
        <v>22.5</v>
      </c>
      <c r="S69" s="51">
        <v>44.25</v>
      </c>
      <c r="T69" s="51"/>
      <c r="U69" s="51">
        <f>ROUND(SUM(H69:T69),5)</f>
        <v>1163.21</v>
      </c>
      <c r="V69" s="67">
        <v>2000</v>
      </c>
      <c r="W69" s="67">
        <v>2000</v>
      </c>
      <c r="AB69" s="86"/>
      <c r="AC69" s="86"/>
      <c r="AD69" s="86"/>
      <c r="AE69" s="86"/>
      <c r="AF69" s="86"/>
      <c r="AG69" s="86" t="s">
        <v>126</v>
      </c>
      <c r="AH69" s="87"/>
      <c r="AI69" s="87"/>
      <c r="AJ69" s="87"/>
      <c r="AK69" s="87"/>
      <c r="AL69" s="87">
        <v>3.07</v>
      </c>
      <c r="AM69" s="87">
        <v>24</v>
      </c>
      <c r="AN69" s="87">
        <v>24</v>
      </c>
      <c r="AO69" s="87">
        <v>48</v>
      </c>
      <c r="AP69" s="87">
        <v>0</v>
      </c>
      <c r="AQ69" s="87">
        <v>24</v>
      </c>
      <c r="AR69" s="87">
        <v>426.54</v>
      </c>
      <c r="AS69" s="87">
        <v>254.93</v>
      </c>
      <c r="AT69" s="87">
        <v>153.99</v>
      </c>
      <c r="AU69" s="87">
        <v>94.54</v>
      </c>
      <c r="AV69" s="87">
        <v>0</v>
      </c>
      <c r="AW69" s="87">
        <v>44.93</v>
      </c>
      <c r="AX69" s="87"/>
      <c r="AY69" s="88">
        <f>ROUND(SUM(AH69:AX69),5)</f>
        <v>1098</v>
      </c>
      <c r="AZ69" s="88">
        <v>2000</v>
      </c>
      <c r="BA69" s="88">
        <v>2000</v>
      </c>
      <c r="BB69" s="89"/>
    </row>
    <row r="70" spans="1:54" ht="15" thickBot="1" x14ac:dyDescent="0.35">
      <c r="A70" s="50"/>
      <c r="B70" s="50"/>
      <c r="C70" s="50"/>
      <c r="D70" s="50"/>
      <c r="E70" s="50"/>
      <c r="F70" s="50" t="s">
        <v>127</v>
      </c>
      <c r="G70" s="50"/>
      <c r="H70" s="53">
        <f t="shared" ref="H70:S70" si="28">ROUND(SUM(H66:H69),5)</f>
        <v>920.91</v>
      </c>
      <c r="I70" s="53">
        <f t="shared" si="28"/>
        <v>2271.8000000000002</v>
      </c>
      <c r="J70" s="53">
        <f t="shared" si="28"/>
        <v>942.66</v>
      </c>
      <c r="K70" s="53">
        <f t="shared" si="28"/>
        <v>942.66</v>
      </c>
      <c r="L70" s="53">
        <f t="shared" si="28"/>
        <v>946.01</v>
      </c>
      <c r="M70" s="53">
        <f t="shared" si="28"/>
        <v>1015</v>
      </c>
      <c r="N70" s="53">
        <f t="shared" si="28"/>
        <v>1397.16</v>
      </c>
      <c r="O70" s="53">
        <f t="shared" si="28"/>
        <v>1186.8599999999999</v>
      </c>
      <c r="P70" s="53">
        <f t="shared" si="28"/>
        <v>1060.6600000000001</v>
      </c>
      <c r="Q70" s="53">
        <f t="shared" si="28"/>
        <v>943.48</v>
      </c>
      <c r="R70" s="53">
        <f t="shared" si="28"/>
        <v>942.66</v>
      </c>
      <c r="S70" s="53">
        <f t="shared" si="28"/>
        <v>1086.5999999999999</v>
      </c>
      <c r="T70" s="53"/>
      <c r="U70" s="53">
        <f>ROUND(SUM(H70:T70),5)</f>
        <v>13656.46</v>
      </c>
      <c r="V70" s="53">
        <f>ROUND(SUM(V66:V69),5)</f>
        <v>25600</v>
      </c>
      <c r="W70" s="53">
        <f>ROUND(SUM(W66:W69),5)</f>
        <v>25500</v>
      </c>
      <c r="AB70" s="86"/>
      <c r="AC70" s="86"/>
      <c r="AD70" s="86"/>
      <c r="AE70" s="86" t="s">
        <v>128</v>
      </c>
      <c r="AF70" s="86" t="s">
        <v>127</v>
      </c>
      <c r="AG70" s="86"/>
      <c r="AH70" s="93"/>
      <c r="AI70" s="93"/>
      <c r="AJ70" s="93"/>
      <c r="AK70" s="93"/>
      <c r="AL70" s="93">
        <f t="shared" ref="AL70:AW70" si="29">ROUND(SUM(AL66:AL69),5)</f>
        <v>1045.44</v>
      </c>
      <c r="AM70" s="93">
        <f t="shared" si="29"/>
        <v>1066.3699999999999</v>
      </c>
      <c r="AN70" s="93">
        <f t="shared" si="29"/>
        <v>3290.71</v>
      </c>
      <c r="AO70" s="93">
        <f t="shared" si="29"/>
        <v>1090.3699999999999</v>
      </c>
      <c r="AP70" s="93">
        <f t="shared" si="29"/>
        <v>1042.3699999999999</v>
      </c>
      <c r="AQ70" s="93">
        <f t="shared" si="29"/>
        <v>1066.3699999999999</v>
      </c>
      <c r="AR70" s="93">
        <f t="shared" si="29"/>
        <v>1468.91</v>
      </c>
      <c r="AS70" s="93">
        <f t="shared" si="29"/>
        <v>1297.3</v>
      </c>
      <c r="AT70" s="93">
        <f t="shared" si="29"/>
        <v>1196.3599999999999</v>
      </c>
      <c r="AU70" s="93">
        <f t="shared" si="29"/>
        <v>1136.9100000000001</v>
      </c>
      <c r="AV70" s="93">
        <f t="shared" si="29"/>
        <v>1590.57</v>
      </c>
      <c r="AW70" s="93">
        <f t="shared" si="29"/>
        <v>1635.44</v>
      </c>
      <c r="AX70" s="93"/>
      <c r="AY70" s="94">
        <f>ROUND(SUM(AH70:AX70),5)</f>
        <v>16927.12</v>
      </c>
      <c r="AZ70" s="94">
        <f>ROUND(SUM(AZ66:AZ69),5)</f>
        <v>20600</v>
      </c>
      <c r="BA70" s="94">
        <f>ROUND(SUM(BA66:BA69),5)</f>
        <v>25600</v>
      </c>
      <c r="BB70" s="95"/>
    </row>
    <row r="71" spans="1:54" x14ac:dyDescent="0.3">
      <c r="A71" s="50"/>
      <c r="B71" s="50"/>
      <c r="C71" s="50"/>
      <c r="D71" s="50"/>
      <c r="E71" s="50" t="s">
        <v>128</v>
      </c>
      <c r="F71" s="50"/>
      <c r="G71" s="50"/>
      <c r="H71" s="51">
        <f t="shared" ref="H71:S71" si="30">ROUND(H41+H47+H52+H56+H60+H65+H70,5)</f>
        <v>20427.5</v>
      </c>
      <c r="I71" s="51">
        <f t="shared" si="30"/>
        <v>27733.33</v>
      </c>
      <c r="J71" s="51">
        <f t="shared" si="30"/>
        <v>23514.880000000001</v>
      </c>
      <c r="K71" s="51">
        <f t="shared" si="30"/>
        <v>33234.839999999997</v>
      </c>
      <c r="L71" s="51">
        <f t="shared" si="30"/>
        <v>23848.2</v>
      </c>
      <c r="M71" s="51">
        <f t="shared" si="30"/>
        <v>31970.85</v>
      </c>
      <c r="N71" s="51">
        <f t="shared" si="30"/>
        <v>45059.15</v>
      </c>
      <c r="O71" s="51">
        <f t="shared" si="30"/>
        <v>25780.14</v>
      </c>
      <c r="P71" s="51">
        <f t="shared" si="30"/>
        <v>26176.5</v>
      </c>
      <c r="Q71" s="51">
        <f t="shared" si="30"/>
        <v>36375.4</v>
      </c>
      <c r="R71" s="51">
        <f t="shared" si="30"/>
        <v>25977.439999999999</v>
      </c>
      <c r="S71" s="51">
        <f t="shared" si="30"/>
        <v>30418.91</v>
      </c>
      <c r="T71" s="51"/>
      <c r="U71" s="51">
        <f>ROUND(SUM(H71:T71),5)</f>
        <v>350517.14</v>
      </c>
      <c r="V71" s="51">
        <f>ROUND(V41+V47+V52+V56+V60+V65+V70,5)</f>
        <v>470191</v>
      </c>
      <c r="W71" s="51">
        <f>ROUND(W41+W47+W52+W56+W60+W65+W70,5)</f>
        <v>457450</v>
      </c>
      <c r="AB71" s="86"/>
      <c r="AC71" s="86"/>
      <c r="AD71" s="86"/>
      <c r="AE71" s="86" t="s">
        <v>129</v>
      </c>
      <c r="AF71" s="86"/>
      <c r="AG71" s="86"/>
      <c r="AH71" s="87"/>
      <c r="AI71" s="87"/>
      <c r="AJ71" s="87"/>
      <c r="AK71" s="87"/>
      <c r="AL71" s="87">
        <f t="shared" ref="AL71:AW71" si="31">ROUND(AL41+AL50+AL56+AL60+AL65+AL70,5)</f>
        <v>16390.41</v>
      </c>
      <c r="AM71" s="87">
        <f t="shared" si="31"/>
        <v>24775.15</v>
      </c>
      <c r="AN71" s="87">
        <f t="shared" si="31"/>
        <v>22713.78</v>
      </c>
      <c r="AO71" s="87">
        <f t="shared" si="31"/>
        <v>37089.300000000003</v>
      </c>
      <c r="AP71" s="87">
        <f t="shared" si="31"/>
        <v>21281.85</v>
      </c>
      <c r="AQ71" s="87">
        <f t="shared" si="31"/>
        <v>25723.74</v>
      </c>
      <c r="AR71" s="87">
        <f t="shared" si="31"/>
        <v>32956.370000000003</v>
      </c>
      <c r="AS71" s="87">
        <f t="shared" si="31"/>
        <v>23897.8</v>
      </c>
      <c r="AT71" s="87">
        <f t="shared" si="31"/>
        <v>26043.08</v>
      </c>
      <c r="AU71" s="87">
        <f t="shared" si="31"/>
        <v>41853.379999999997</v>
      </c>
      <c r="AV71" s="87">
        <f t="shared" si="31"/>
        <v>37546.199999999997</v>
      </c>
      <c r="AW71" s="87">
        <f t="shared" si="31"/>
        <v>35336.639999999999</v>
      </c>
      <c r="AX71" s="87"/>
      <c r="AY71" s="88">
        <f>ROUND(SUM(AH71:AX71),5)</f>
        <v>345607.7</v>
      </c>
      <c r="AZ71" s="88">
        <f>ROUND(AZ41+AZ50+AZ56+AZ60+AZ65+AZ70,5)</f>
        <v>413380</v>
      </c>
      <c r="BA71" s="88">
        <f>ROUND(BA41+BA50+BA56+BA60+BA65+BA70,5)</f>
        <v>470191</v>
      </c>
      <c r="BB71" s="89"/>
    </row>
    <row r="72" spans="1:54" x14ac:dyDescent="0.3">
      <c r="A72" s="50"/>
      <c r="B72" s="50"/>
      <c r="C72" s="50"/>
      <c r="D72" s="50"/>
      <c r="E72" s="50" t="s">
        <v>129</v>
      </c>
      <c r="F72" s="50"/>
      <c r="G72" s="50"/>
      <c r="H72" s="51"/>
      <c r="I72" s="51"/>
      <c r="J72" s="51"/>
      <c r="K72" s="51"/>
      <c r="L72" s="51"/>
      <c r="M72" s="51"/>
      <c r="N72" s="51"/>
      <c r="O72" s="51"/>
      <c r="P72" s="51"/>
      <c r="Q72" s="51"/>
      <c r="R72" s="51"/>
      <c r="S72" s="51"/>
      <c r="T72" s="51"/>
      <c r="U72" s="51"/>
      <c r="V72" s="51"/>
      <c r="W72" s="51"/>
      <c r="AB72" s="86"/>
      <c r="AC72" s="86"/>
      <c r="AD72" s="86"/>
      <c r="AE72" s="86"/>
      <c r="AF72" s="86"/>
      <c r="AG72" s="86"/>
      <c r="AH72" s="87"/>
      <c r="AI72" s="87"/>
      <c r="AJ72" s="87"/>
      <c r="AK72" s="87"/>
      <c r="AL72" s="87"/>
      <c r="AM72" s="87"/>
      <c r="AN72" s="87"/>
      <c r="AO72" s="87"/>
      <c r="AP72" s="87"/>
      <c r="AQ72" s="87"/>
      <c r="AR72" s="87"/>
      <c r="AS72" s="87"/>
      <c r="AT72" s="87"/>
      <c r="AU72" s="87"/>
      <c r="AV72" s="87"/>
      <c r="AW72" s="87"/>
      <c r="AX72" s="87"/>
      <c r="AY72" s="88"/>
      <c r="AZ72" s="88"/>
      <c r="BA72" s="88"/>
      <c r="BB72" s="89"/>
    </row>
    <row r="73" spans="1:54" x14ac:dyDescent="0.3">
      <c r="A73" s="50"/>
      <c r="B73" s="50"/>
      <c r="C73" s="50"/>
      <c r="D73" s="50"/>
      <c r="E73" s="50"/>
      <c r="F73" s="50" t="s">
        <v>130</v>
      </c>
      <c r="G73" s="50"/>
      <c r="H73" s="51"/>
      <c r="I73" s="51"/>
      <c r="J73" s="51"/>
      <c r="K73" s="51"/>
      <c r="L73" s="51"/>
      <c r="M73" s="51"/>
      <c r="N73" s="51"/>
      <c r="O73" s="51"/>
      <c r="P73" s="51"/>
      <c r="Q73" s="51"/>
      <c r="R73" s="51"/>
      <c r="S73" s="51"/>
      <c r="T73" s="51"/>
      <c r="U73" s="51"/>
      <c r="V73" s="51"/>
      <c r="W73" s="51"/>
      <c r="AB73" s="86"/>
      <c r="AC73" s="86"/>
      <c r="AD73" s="86"/>
      <c r="AE73" s="86"/>
      <c r="AF73" s="86" t="s">
        <v>130</v>
      </c>
      <c r="AG73" s="86"/>
      <c r="AH73" s="87"/>
      <c r="AI73" s="87"/>
      <c r="AJ73" s="87"/>
      <c r="AK73" s="87"/>
      <c r="AL73" s="87"/>
      <c r="AM73" s="87"/>
      <c r="AN73" s="87"/>
      <c r="AO73" s="87"/>
      <c r="AP73" s="87"/>
      <c r="AQ73" s="87"/>
      <c r="AR73" s="87"/>
      <c r="AS73" s="87"/>
      <c r="AT73" s="87"/>
      <c r="AU73" s="87"/>
      <c r="AV73" s="87"/>
      <c r="AW73" s="87"/>
      <c r="AX73" s="87"/>
      <c r="AY73" s="88"/>
      <c r="AZ73" s="88"/>
      <c r="BA73" s="88"/>
      <c r="BB73" s="89"/>
    </row>
    <row r="74" spans="1:54" x14ac:dyDescent="0.3">
      <c r="A74" s="50"/>
      <c r="B74" s="50"/>
      <c r="C74" s="50"/>
      <c r="D74" s="50"/>
      <c r="E74" s="50"/>
      <c r="F74" s="50"/>
      <c r="G74" s="50" t="s">
        <v>131</v>
      </c>
      <c r="H74" s="51">
        <v>336.79</v>
      </c>
      <c r="I74" s="51">
        <v>343.57</v>
      </c>
      <c r="J74" s="51">
        <v>340.18</v>
      </c>
      <c r="K74" s="51">
        <v>340.18</v>
      </c>
      <c r="L74" s="51">
        <v>471.16</v>
      </c>
      <c r="M74" s="51">
        <v>340.18</v>
      </c>
      <c r="N74" s="51">
        <v>340.18</v>
      </c>
      <c r="O74" s="51">
        <v>340.18</v>
      </c>
      <c r="P74" s="51">
        <v>340.18</v>
      </c>
      <c r="Q74" s="51">
        <v>340.18</v>
      </c>
      <c r="R74" s="51">
        <v>340.18</v>
      </c>
      <c r="S74" s="51">
        <v>336.79</v>
      </c>
      <c r="T74" s="51"/>
      <c r="U74" s="51">
        <f>ROUND(SUM(H74:T74),5)</f>
        <v>4209.75</v>
      </c>
      <c r="V74" s="67">
        <v>4100</v>
      </c>
      <c r="W74" s="67">
        <v>4400</v>
      </c>
      <c r="AB74" s="86"/>
      <c r="AC74" s="86"/>
      <c r="AD74" s="86"/>
      <c r="AE74" s="86"/>
      <c r="AF74" s="86"/>
      <c r="AG74" s="86" t="s">
        <v>131</v>
      </c>
      <c r="AH74" s="87"/>
      <c r="AI74" s="87"/>
      <c r="AJ74" s="87"/>
      <c r="AK74" s="87"/>
      <c r="AL74" s="87">
        <v>265.27999999999997</v>
      </c>
      <c r="AM74" s="87">
        <v>329.08</v>
      </c>
      <c r="AN74" s="87">
        <v>297.18</v>
      </c>
      <c r="AO74" s="87">
        <v>297.18</v>
      </c>
      <c r="AP74" s="87">
        <v>297.18</v>
      </c>
      <c r="AQ74" s="87">
        <v>342.55</v>
      </c>
      <c r="AR74" s="87">
        <v>336.79</v>
      </c>
      <c r="AS74" s="87">
        <v>336.79</v>
      </c>
      <c r="AT74" s="87">
        <v>336.79</v>
      </c>
      <c r="AU74" s="87">
        <v>336.79</v>
      </c>
      <c r="AV74" s="87">
        <v>265.27999999999997</v>
      </c>
      <c r="AW74" s="87">
        <v>265.27999999999997</v>
      </c>
      <c r="AX74" s="87"/>
      <c r="AY74" s="88">
        <f>ROUND(SUM(AH74:AX74),5)</f>
        <v>3706.17</v>
      </c>
      <c r="AZ74" s="88">
        <v>3300</v>
      </c>
      <c r="BA74" s="88">
        <v>4100</v>
      </c>
      <c r="BB74" s="89" t="s">
        <v>250</v>
      </c>
    </row>
    <row r="75" spans="1:54" ht="15" thickBot="1" x14ac:dyDescent="0.35">
      <c r="A75" s="50"/>
      <c r="B75" s="50"/>
      <c r="C75" s="50"/>
      <c r="D75" s="50"/>
      <c r="E75" s="50"/>
      <c r="F75" s="50"/>
      <c r="G75" s="50" t="s">
        <v>132</v>
      </c>
      <c r="H75" s="52">
        <v>0</v>
      </c>
      <c r="I75" s="52">
        <v>613.13</v>
      </c>
      <c r="J75" s="52">
        <v>621.05999999999995</v>
      </c>
      <c r="K75" s="52">
        <v>649.05999999999995</v>
      </c>
      <c r="L75" s="52">
        <v>447.52</v>
      </c>
      <c r="M75" s="52">
        <v>449.1</v>
      </c>
      <c r="N75" s="52">
        <v>352.72</v>
      </c>
      <c r="O75" s="52">
        <v>368.99</v>
      </c>
      <c r="P75" s="52">
        <v>439.86</v>
      </c>
      <c r="Q75" s="52">
        <v>437.05</v>
      </c>
      <c r="R75" s="52">
        <v>528.09</v>
      </c>
      <c r="S75" s="52">
        <v>1125.5899999999999</v>
      </c>
      <c r="T75" s="52"/>
      <c r="U75" s="52">
        <f>ROUND(SUM(H75:T75),5)</f>
        <v>6032.17</v>
      </c>
      <c r="V75" s="69">
        <v>5500</v>
      </c>
      <c r="W75" s="69">
        <v>6000</v>
      </c>
      <c r="AB75" s="86"/>
      <c r="AC75" s="86"/>
      <c r="AD75" s="86"/>
      <c r="AE75" s="86"/>
      <c r="AF75" s="86"/>
      <c r="AG75" s="86" t="s">
        <v>132</v>
      </c>
      <c r="AH75" s="90"/>
      <c r="AI75" s="90"/>
      <c r="AJ75" s="90"/>
      <c r="AK75" s="90"/>
      <c r="AL75" s="90">
        <v>0</v>
      </c>
      <c r="AM75" s="90">
        <v>563.13</v>
      </c>
      <c r="AN75" s="90">
        <v>558</v>
      </c>
      <c r="AO75" s="90">
        <v>564.51</v>
      </c>
      <c r="AP75" s="90">
        <v>381.22</v>
      </c>
      <c r="AQ75" s="90">
        <v>394.29</v>
      </c>
      <c r="AR75" s="90">
        <v>348.74</v>
      </c>
      <c r="AS75" s="90">
        <v>330.04</v>
      </c>
      <c r="AT75" s="90">
        <v>387.21</v>
      </c>
      <c r="AU75" s="90">
        <v>320.44</v>
      </c>
      <c r="AV75" s="90">
        <v>350.52</v>
      </c>
      <c r="AW75" s="90">
        <v>939.43</v>
      </c>
      <c r="AX75" s="90"/>
      <c r="AY75" s="91">
        <f>ROUND(SUM(AH75:AX75),5)</f>
        <v>5137.53</v>
      </c>
      <c r="AZ75" s="91">
        <v>5000</v>
      </c>
      <c r="BA75" s="91">
        <v>5500</v>
      </c>
      <c r="BB75" s="92"/>
    </row>
    <row r="76" spans="1:54" x14ac:dyDescent="0.3">
      <c r="A76" s="50"/>
      <c r="B76" s="50"/>
      <c r="C76" s="50"/>
      <c r="D76" s="50"/>
      <c r="E76" s="50"/>
      <c r="F76" s="50" t="s">
        <v>133</v>
      </c>
      <c r="G76" s="50"/>
      <c r="H76" s="51">
        <f t="shared" ref="H76:P76" si="32">ROUND(SUM(H73:H75),5)</f>
        <v>336.79</v>
      </c>
      <c r="I76" s="51">
        <f t="shared" si="32"/>
        <v>956.7</v>
      </c>
      <c r="J76" s="51">
        <f t="shared" si="32"/>
        <v>961.24</v>
      </c>
      <c r="K76" s="51">
        <f t="shared" si="32"/>
        <v>989.24</v>
      </c>
      <c r="L76" s="51">
        <f t="shared" si="32"/>
        <v>918.68</v>
      </c>
      <c r="M76" s="51">
        <f t="shared" si="32"/>
        <v>789.28</v>
      </c>
      <c r="N76" s="51">
        <f t="shared" si="32"/>
        <v>692.9</v>
      </c>
      <c r="O76" s="51">
        <f t="shared" si="32"/>
        <v>709.17</v>
      </c>
      <c r="P76" s="51">
        <f t="shared" si="32"/>
        <v>780.04</v>
      </c>
      <c r="Q76" s="51">
        <f>ROUND(SUM(Q73:Q75),5)</f>
        <v>777.23</v>
      </c>
      <c r="R76" s="51">
        <f>ROUND(SUM(R73:R75),5)</f>
        <v>868.27</v>
      </c>
      <c r="S76" s="51">
        <f>ROUND(SUM(S73:S75),5)</f>
        <v>1462.38</v>
      </c>
      <c r="T76" s="51"/>
      <c r="U76" s="51">
        <f>ROUND(SUM(H76:T76),5)</f>
        <v>10241.92</v>
      </c>
      <c r="V76" s="51">
        <f>ROUND(SUM(V73:V75),5)</f>
        <v>9600</v>
      </c>
      <c r="W76" s="51">
        <f>ROUND(SUM(W73:W75),5)</f>
        <v>10400</v>
      </c>
      <c r="AB76" s="86"/>
      <c r="AC76" s="86"/>
      <c r="AD76" s="86"/>
      <c r="AE76" s="86"/>
      <c r="AF76" s="86" t="s">
        <v>133</v>
      </c>
      <c r="AG76" s="86"/>
      <c r="AH76" s="87"/>
      <c r="AI76" s="87"/>
      <c r="AJ76" s="87"/>
      <c r="AK76" s="87"/>
      <c r="AL76" s="87">
        <f t="shared" ref="AL76:AW76" si="33">ROUND(SUM(AL73:AL75),5)</f>
        <v>265.27999999999997</v>
      </c>
      <c r="AM76" s="87">
        <f t="shared" si="33"/>
        <v>892.21</v>
      </c>
      <c r="AN76" s="87">
        <f t="shared" si="33"/>
        <v>855.18</v>
      </c>
      <c r="AO76" s="87">
        <f t="shared" si="33"/>
        <v>861.69</v>
      </c>
      <c r="AP76" s="87">
        <f t="shared" si="33"/>
        <v>678.4</v>
      </c>
      <c r="AQ76" s="87">
        <f t="shared" si="33"/>
        <v>736.84</v>
      </c>
      <c r="AR76" s="87">
        <f t="shared" si="33"/>
        <v>685.53</v>
      </c>
      <c r="AS76" s="87">
        <f t="shared" si="33"/>
        <v>666.83</v>
      </c>
      <c r="AT76" s="87">
        <f t="shared" si="33"/>
        <v>724</v>
      </c>
      <c r="AU76" s="87">
        <f t="shared" si="33"/>
        <v>657.23</v>
      </c>
      <c r="AV76" s="87">
        <f t="shared" si="33"/>
        <v>615.79999999999995</v>
      </c>
      <c r="AW76" s="87">
        <f t="shared" si="33"/>
        <v>1204.71</v>
      </c>
      <c r="AX76" s="87"/>
      <c r="AY76" s="88">
        <f>ROUND(SUM(AH76:AX76),5)</f>
        <v>8843.7000000000007</v>
      </c>
      <c r="AZ76" s="88">
        <f>ROUND(SUM(AZ73:AZ75),5)</f>
        <v>8300</v>
      </c>
      <c r="BA76" s="88">
        <f>ROUND(SUM(BA73:BA75),5)</f>
        <v>9600</v>
      </c>
      <c r="BB76" s="89"/>
    </row>
    <row r="77" spans="1:54" x14ac:dyDescent="0.3">
      <c r="A77" s="50"/>
      <c r="B77" s="50"/>
      <c r="C77" s="50"/>
      <c r="D77" s="50"/>
      <c r="E77" s="50"/>
      <c r="F77" s="50"/>
      <c r="G77" s="50"/>
      <c r="H77" s="51"/>
      <c r="I77" s="51"/>
      <c r="J77" s="51"/>
      <c r="K77" s="51"/>
      <c r="L77" s="51"/>
      <c r="M77" s="51"/>
      <c r="N77" s="51"/>
      <c r="O77" s="51"/>
      <c r="P77" s="51"/>
      <c r="Q77" s="51"/>
      <c r="R77" s="51"/>
      <c r="S77" s="51"/>
      <c r="T77" s="51"/>
      <c r="U77" s="51"/>
      <c r="V77" s="51"/>
      <c r="W77" s="51"/>
      <c r="AB77" s="86"/>
      <c r="AC77" s="86"/>
      <c r="AD77" s="86"/>
      <c r="AE77" s="86"/>
      <c r="AF77" s="86"/>
      <c r="AG77" s="86"/>
      <c r="AH77" s="87"/>
      <c r="AI77" s="87"/>
      <c r="AJ77" s="87"/>
      <c r="AK77" s="87"/>
      <c r="AL77" s="87"/>
      <c r="AM77" s="87"/>
      <c r="AN77" s="87"/>
      <c r="AO77" s="87"/>
      <c r="AP77" s="87"/>
      <c r="AQ77" s="87"/>
      <c r="AR77" s="87"/>
      <c r="AS77" s="87"/>
      <c r="AT77" s="87"/>
      <c r="AU77" s="87"/>
      <c r="AV77" s="87"/>
      <c r="AW77" s="87"/>
      <c r="AX77" s="87"/>
      <c r="AY77" s="88"/>
      <c r="AZ77" s="88"/>
      <c r="BA77" s="88"/>
      <c r="BB77" s="89"/>
    </row>
    <row r="78" spans="1:54" x14ac:dyDescent="0.3">
      <c r="A78" s="50"/>
      <c r="B78" s="50"/>
      <c r="C78" s="50"/>
      <c r="D78" s="50"/>
      <c r="E78" s="50"/>
      <c r="F78" s="50"/>
      <c r="G78" s="50"/>
      <c r="H78" s="51"/>
      <c r="I78" s="51"/>
      <c r="J78" s="51"/>
      <c r="K78" s="51"/>
      <c r="L78" s="51"/>
      <c r="M78" s="51"/>
      <c r="N78" s="51"/>
      <c r="O78" s="51"/>
      <c r="P78" s="51"/>
      <c r="Q78" s="51"/>
      <c r="R78" s="51"/>
      <c r="S78" s="51"/>
      <c r="T78" s="51"/>
      <c r="U78" s="51"/>
      <c r="V78" s="51"/>
      <c r="W78" s="51"/>
      <c r="AB78" s="86"/>
      <c r="AC78" s="86"/>
      <c r="AD78" s="86"/>
      <c r="AE78" s="86"/>
      <c r="AF78" s="86"/>
      <c r="AG78" s="86"/>
      <c r="AH78" s="87"/>
      <c r="AI78" s="87"/>
      <c r="AJ78" s="87"/>
      <c r="AK78" s="87"/>
      <c r="AL78" s="87"/>
      <c r="AM78" s="87"/>
      <c r="AN78" s="87"/>
      <c r="AO78" s="87"/>
      <c r="AP78" s="87"/>
      <c r="AQ78" s="87"/>
      <c r="AR78" s="87"/>
      <c r="AS78" s="87"/>
      <c r="AT78" s="87"/>
      <c r="AU78" s="87"/>
      <c r="AV78" s="87"/>
      <c r="AW78" s="87"/>
      <c r="AX78" s="87"/>
      <c r="AY78" s="88"/>
      <c r="AZ78" s="88"/>
      <c r="BA78" s="88"/>
      <c r="BB78" s="89"/>
    </row>
    <row r="79" spans="1:54" x14ac:dyDescent="0.3">
      <c r="A79" s="50"/>
      <c r="B79" s="50"/>
      <c r="C79" s="50"/>
      <c r="D79" s="50"/>
      <c r="E79" s="50"/>
      <c r="F79" s="50"/>
      <c r="G79" s="50"/>
      <c r="H79" s="51"/>
      <c r="I79" s="51"/>
      <c r="J79" s="51"/>
      <c r="K79" s="51"/>
      <c r="L79" s="51"/>
      <c r="M79" s="51"/>
      <c r="N79" s="51"/>
      <c r="O79" s="51"/>
      <c r="P79" s="51"/>
      <c r="Q79" s="51"/>
      <c r="R79" s="51"/>
      <c r="S79" s="51"/>
      <c r="T79" s="51"/>
      <c r="U79" s="51"/>
      <c r="V79" s="51"/>
      <c r="W79" s="51"/>
      <c r="AB79" s="86"/>
      <c r="AC79" s="86"/>
      <c r="AD79" s="86"/>
      <c r="AE79" s="86"/>
      <c r="AF79" s="86"/>
      <c r="AG79" s="86"/>
      <c r="AH79" s="87"/>
      <c r="AI79" s="87"/>
      <c r="AJ79" s="87"/>
      <c r="AK79" s="87"/>
      <c r="AL79" s="87"/>
      <c r="AM79" s="87"/>
      <c r="AN79" s="87"/>
      <c r="AO79" s="87"/>
      <c r="AP79" s="87"/>
      <c r="AQ79" s="87"/>
      <c r="AR79" s="87"/>
      <c r="AS79" s="87"/>
      <c r="AT79" s="87"/>
      <c r="AU79" s="87"/>
      <c r="AV79" s="87"/>
      <c r="AW79" s="87"/>
      <c r="AX79" s="87"/>
      <c r="AY79" s="88"/>
      <c r="AZ79" s="88"/>
      <c r="BA79" s="88"/>
      <c r="BB79" s="89"/>
    </row>
    <row r="80" spans="1:54" x14ac:dyDescent="0.3">
      <c r="A80" s="50"/>
      <c r="B80" s="50"/>
      <c r="C80" s="50"/>
      <c r="D80" s="50"/>
      <c r="E80" s="50"/>
      <c r="F80" s="50"/>
      <c r="G80" s="50"/>
      <c r="H80" s="51"/>
      <c r="I80" s="51"/>
      <c r="J80" s="51"/>
      <c r="K80" s="51"/>
      <c r="L80" s="51"/>
      <c r="M80" s="51"/>
      <c r="N80" s="51"/>
      <c r="O80" s="51"/>
      <c r="P80" s="51"/>
      <c r="Q80" s="51"/>
      <c r="R80" s="51"/>
      <c r="S80" s="51"/>
      <c r="T80" s="51"/>
      <c r="U80" s="51"/>
      <c r="V80" s="51"/>
      <c r="W80" s="51"/>
      <c r="AB80" s="86"/>
      <c r="AC80" s="86"/>
      <c r="AD80" s="86"/>
      <c r="AE80" s="86"/>
      <c r="AF80" s="86"/>
      <c r="AG80" s="86"/>
      <c r="AH80" s="87"/>
      <c r="AI80" s="87"/>
      <c r="AJ80" s="87"/>
      <c r="AK80" s="87"/>
      <c r="AL80" s="87"/>
      <c r="AM80" s="87"/>
      <c r="AN80" s="87"/>
      <c r="AO80" s="87"/>
      <c r="AP80" s="87"/>
      <c r="AQ80" s="87"/>
      <c r="AR80" s="87"/>
      <c r="AS80" s="87"/>
      <c r="AT80" s="87"/>
      <c r="AU80" s="87"/>
      <c r="AV80" s="87"/>
      <c r="AW80" s="87"/>
      <c r="AX80" s="87"/>
      <c r="AY80" s="88"/>
      <c r="AZ80" s="88"/>
      <c r="BA80" s="88"/>
      <c r="BB80" s="89"/>
    </row>
    <row r="81" spans="1:54" x14ac:dyDescent="0.3">
      <c r="A81" s="50"/>
      <c r="B81" s="50"/>
      <c r="C81" s="50"/>
      <c r="D81" s="50"/>
      <c r="E81" s="50"/>
      <c r="F81" s="50"/>
      <c r="G81" s="50"/>
      <c r="H81" s="51"/>
      <c r="I81" s="51"/>
      <c r="J81" s="51"/>
      <c r="K81" s="51"/>
      <c r="L81" s="51"/>
      <c r="M81" s="51"/>
      <c r="N81" s="51"/>
      <c r="O81" s="51"/>
      <c r="P81" s="51"/>
      <c r="Q81" s="51"/>
      <c r="R81" s="51"/>
      <c r="S81" s="51"/>
      <c r="T81" s="51"/>
      <c r="U81" s="51"/>
      <c r="V81" s="51"/>
      <c r="W81" s="51"/>
      <c r="AB81" s="86"/>
      <c r="AC81" s="86"/>
      <c r="AD81" s="86"/>
      <c r="AE81" s="86"/>
      <c r="AF81" s="86"/>
      <c r="AG81" s="86"/>
      <c r="AH81" s="87"/>
      <c r="AI81" s="87"/>
      <c r="AJ81" s="87"/>
      <c r="AK81" s="87"/>
      <c r="AL81" s="87"/>
      <c r="AM81" s="87"/>
      <c r="AN81" s="87"/>
      <c r="AO81" s="87"/>
      <c r="AP81" s="87"/>
      <c r="AQ81" s="87"/>
      <c r="AR81" s="87"/>
      <c r="AS81" s="87"/>
      <c r="AT81" s="87"/>
      <c r="AU81" s="87"/>
      <c r="AV81" s="87"/>
      <c r="AW81" s="87"/>
      <c r="AX81" s="87"/>
      <c r="AY81" s="88"/>
      <c r="AZ81" s="88"/>
      <c r="BA81" s="88"/>
      <c r="BB81" s="89"/>
    </row>
    <row r="82" spans="1:54" x14ac:dyDescent="0.3">
      <c r="A82" s="50"/>
      <c r="B82" s="50"/>
      <c r="C82" s="50"/>
      <c r="D82" s="50"/>
      <c r="E82" s="50"/>
      <c r="F82" s="50"/>
      <c r="G82" s="50"/>
      <c r="H82" s="51"/>
      <c r="I82" s="51"/>
      <c r="J82" s="51"/>
      <c r="K82" s="51"/>
      <c r="L82" s="51"/>
      <c r="M82" s="51"/>
      <c r="N82" s="51"/>
      <c r="O82" s="51"/>
      <c r="P82" s="51"/>
      <c r="Q82" s="51"/>
      <c r="R82" s="51"/>
      <c r="S82" s="51"/>
      <c r="T82" s="51"/>
      <c r="U82" s="51"/>
      <c r="V82" s="51"/>
      <c r="W82" s="51"/>
      <c r="AB82" s="86"/>
      <c r="AC82" s="86"/>
      <c r="AD82" s="86"/>
      <c r="AE82" s="86"/>
      <c r="AF82" s="86"/>
      <c r="AG82" s="86"/>
      <c r="AH82" s="87"/>
      <c r="AI82" s="87"/>
      <c r="AJ82" s="87"/>
      <c r="AK82" s="87"/>
      <c r="AL82" s="87"/>
      <c r="AM82" s="87"/>
      <c r="AN82" s="87"/>
      <c r="AO82" s="87"/>
      <c r="AP82" s="87"/>
      <c r="AQ82" s="87"/>
      <c r="AR82" s="87"/>
      <c r="AS82" s="87"/>
      <c r="AT82" s="87"/>
      <c r="AU82" s="87"/>
      <c r="AV82" s="87"/>
      <c r="AW82" s="87"/>
      <c r="AX82" s="87"/>
      <c r="AY82" s="88"/>
      <c r="AZ82" s="88"/>
      <c r="BA82" s="88"/>
      <c r="BB82" s="89"/>
    </row>
    <row r="83" spans="1:54" x14ac:dyDescent="0.3">
      <c r="A83" s="50"/>
      <c r="B83" s="50"/>
      <c r="C83" s="50"/>
      <c r="D83" s="50"/>
      <c r="E83" s="50"/>
      <c r="F83" s="50"/>
      <c r="G83" s="50"/>
      <c r="H83" s="51"/>
      <c r="I83" s="51"/>
      <c r="J83" s="51"/>
      <c r="K83" s="51"/>
      <c r="L83" s="51"/>
      <c r="M83" s="51"/>
      <c r="N83" s="51"/>
      <c r="O83" s="51"/>
      <c r="P83" s="51"/>
      <c r="Q83" s="51"/>
      <c r="R83" s="51"/>
      <c r="S83" s="51"/>
      <c r="T83" s="51"/>
      <c r="U83" s="51"/>
      <c r="V83" s="51"/>
      <c r="W83" s="51"/>
      <c r="AB83" s="86"/>
      <c r="AC83" s="86"/>
      <c r="AD83" s="86"/>
      <c r="AE83" s="86"/>
      <c r="AF83" s="86"/>
      <c r="AG83" s="86"/>
      <c r="AH83" s="87"/>
      <c r="AI83" s="87"/>
      <c r="AJ83" s="87"/>
      <c r="AK83" s="87"/>
      <c r="AL83" s="87"/>
      <c r="AM83" s="87"/>
      <c r="AN83" s="87"/>
      <c r="AO83" s="87"/>
      <c r="AP83" s="87"/>
      <c r="AQ83" s="87"/>
      <c r="AR83" s="87"/>
      <c r="AS83" s="87"/>
      <c r="AT83" s="87"/>
      <c r="AU83" s="87"/>
      <c r="AV83" s="87"/>
      <c r="AW83" s="87"/>
      <c r="AX83" s="87"/>
      <c r="AY83" s="88"/>
      <c r="AZ83" s="88"/>
      <c r="BA83" s="88"/>
      <c r="BB83" s="89"/>
    </row>
    <row r="84" spans="1:54" x14ac:dyDescent="0.3">
      <c r="A84" s="50"/>
      <c r="B84" s="50"/>
      <c r="C84" s="50"/>
      <c r="D84" s="50"/>
      <c r="E84" s="50"/>
      <c r="F84" s="50"/>
      <c r="G84" s="50"/>
      <c r="H84" s="51"/>
      <c r="I84" s="51"/>
      <c r="J84" s="51"/>
      <c r="K84" s="51"/>
      <c r="L84" s="51"/>
      <c r="M84" s="51"/>
      <c r="N84" s="51"/>
      <c r="O84" s="51"/>
      <c r="P84" s="51"/>
      <c r="Q84" s="51"/>
      <c r="R84" s="51"/>
      <c r="S84" s="51"/>
      <c r="T84" s="51"/>
      <c r="U84" s="51"/>
      <c r="V84" s="51"/>
      <c r="W84" s="51"/>
      <c r="AB84" s="86"/>
      <c r="AC84" s="86"/>
      <c r="AD84" s="86"/>
      <c r="AE84" s="86"/>
      <c r="AF84" s="86"/>
      <c r="AG84" s="86"/>
      <c r="AH84" s="87"/>
      <c r="AI84" s="87"/>
      <c r="AJ84" s="87"/>
      <c r="AK84" s="87"/>
      <c r="AL84" s="87"/>
      <c r="AM84" s="87"/>
      <c r="AN84" s="87"/>
      <c r="AO84" s="87"/>
      <c r="AP84" s="87"/>
      <c r="AQ84" s="87"/>
      <c r="AR84" s="87"/>
      <c r="AS84" s="87"/>
      <c r="AT84" s="87"/>
      <c r="AU84" s="87"/>
      <c r="AV84" s="87"/>
      <c r="AW84" s="87"/>
      <c r="AX84" s="87"/>
      <c r="AY84" s="88"/>
      <c r="AZ84" s="88"/>
      <c r="BA84" s="88"/>
      <c r="BB84" s="89"/>
    </row>
    <row r="85" spans="1:54" x14ac:dyDescent="0.3">
      <c r="A85" s="50"/>
      <c r="B85" s="50"/>
      <c r="C85" s="50"/>
      <c r="D85" s="50"/>
      <c r="E85" s="50"/>
      <c r="F85" s="50"/>
      <c r="G85" s="50"/>
      <c r="H85" s="51"/>
      <c r="I85" s="51"/>
      <c r="J85" s="51"/>
      <c r="K85" s="51"/>
      <c r="L85" s="51"/>
      <c r="M85" s="51"/>
      <c r="N85" s="51"/>
      <c r="O85" s="51"/>
      <c r="P85" s="51"/>
      <c r="Q85" s="51"/>
      <c r="R85" s="51"/>
      <c r="S85" s="51"/>
      <c r="T85" s="51"/>
      <c r="U85" s="51"/>
      <c r="V85" s="51"/>
      <c r="W85" s="51"/>
      <c r="AB85" s="86"/>
      <c r="AC85" s="86"/>
      <c r="AD85" s="86"/>
      <c r="AE85" s="86"/>
      <c r="AF85" s="86"/>
      <c r="AG85" s="86"/>
      <c r="AH85" s="87"/>
      <c r="AI85" s="87"/>
      <c r="AJ85" s="87"/>
      <c r="AK85" s="87"/>
      <c r="AL85" s="87"/>
      <c r="AM85" s="87"/>
      <c r="AN85" s="87"/>
      <c r="AO85" s="87"/>
      <c r="AP85" s="87"/>
      <c r="AQ85" s="87"/>
      <c r="AR85" s="87"/>
      <c r="AS85" s="87"/>
      <c r="AT85" s="87"/>
      <c r="AU85" s="87"/>
      <c r="AV85" s="87"/>
      <c r="AW85" s="87"/>
      <c r="AX85" s="87"/>
      <c r="AY85" s="88"/>
      <c r="AZ85" s="88"/>
      <c r="BA85" s="88"/>
      <c r="BB85" s="89"/>
    </row>
    <row r="86" spans="1:54" x14ac:dyDescent="0.3">
      <c r="A86" s="50"/>
      <c r="B86" s="50"/>
      <c r="C86" s="50"/>
      <c r="D86" s="50"/>
      <c r="E86" s="50"/>
      <c r="F86" s="50"/>
      <c r="G86" s="50"/>
      <c r="H86" s="51"/>
      <c r="I86" s="51"/>
      <c r="J86" s="51"/>
      <c r="K86" s="51"/>
      <c r="L86" s="51"/>
      <c r="M86" s="51"/>
      <c r="N86" s="51"/>
      <c r="O86" s="51"/>
      <c r="P86" s="51"/>
      <c r="Q86" s="51"/>
      <c r="R86" s="51"/>
      <c r="S86" s="51"/>
      <c r="T86" s="51"/>
      <c r="U86" s="51"/>
      <c r="V86" s="51"/>
      <c r="W86" s="51"/>
      <c r="AB86" s="86"/>
      <c r="AC86" s="86"/>
      <c r="AD86" s="86"/>
      <c r="AE86" s="86"/>
      <c r="AF86" s="86"/>
      <c r="AG86" s="86"/>
      <c r="AH86" s="87"/>
      <c r="AI86" s="87"/>
      <c r="AJ86" s="87"/>
      <c r="AK86" s="87"/>
      <c r="AL86" s="87"/>
      <c r="AM86" s="87"/>
      <c r="AN86" s="87"/>
      <c r="AO86" s="87"/>
      <c r="AP86" s="87"/>
      <c r="AQ86" s="87"/>
      <c r="AR86" s="87"/>
      <c r="AS86" s="87"/>
      <c r="AT86" s="87"/>
      <c r="AU86" s="87"/>
      <c r="AV86" s="87"/>
      <c r="AW86" s="87"/>
      <c r="AX86" s="87"/>
      <c r="AY86" s="88"/>
      <c r="AZ86" s="88"/>
      <c r="BA86" s="88"/>
      <c r="BB86" s="89"/>
    </row>
    <row r="87" spans="1:54" x14ac:dyDescent="0.3">
      <c r="A87" s="50"/>
      <c r="B87" s="50"/>
      <c r="C87" s="50"/>
      <c r="D87" s="50"/>
      <c r="E87" s="50"/>
      <c r="F87" s="50"/>
      <c r="G87" s="50"/>
      <c r="H87" s="51"/>
      <c r="I87" s="51"/>
      <c r="J87" s="51"/>
      <c r="K87" s="51"/>
      <c r="L87" s="51"/>
      <c r="M87" s="51"/>
      <c r="N87" s="51"/>
      <c r="O87" s="51"/>
      <c r="P87" s="51"/>
      <c r="Q87" s="51"/>
      <c r="R87" s="51"/>
      <c r="S87" s="51"/>
      <c r="T87" s="51"/>
      <c r="U87" s="51"/>
      <c r="V87" s="51"/>
      <c r="W87" s="51"/>
      <c r="AB87" s="86"/>
      <c r="AC87" s="86"/>
      <c r="AD87" s="86"/>
      <c r="AE87" s="86"/>
      <c r="AF87" s="86"/>
      <c r="AG87" s="86"/>
      <c r="AH87" s="87"/>
      <c r="AI87" s="87"/>
      <c r="AJ87" s="87"/>
      <c r="AK87" s="87"/>
      <c r="AL87" s="87"/>
      <c r="AM87" s="87"/>
      <c r="AN87" s="87"/>
      <c r="AO87" s="87"/>
      <c r="AP87" s="87"/>
      <c r="AQ87" s="87"/>
      <c r="AR87" s="87"/>
      <c r="AS87" s="87"/>
      <c r="AT87" s="87"/>
      <c r="AU87" s="87"/>
      <c r="AV87" s="87"/>
      <c r="AW87" s="87"/>
      <c r="AX87" s="87"/>
      <c r="AY87" s="88"/>
      <c r="AZ87" s="88"/>
      <c r="BA87" s="88"/>
      <c r="BB87" s="89"/>
    </row>
    <row r="88" spans="1:54" x14ac:dyDescent="0.3">
      <c r="A88" s="50"/>
      <c r="B88" s="50"/>
      <c r="C88" s="50"/>
      <c r="D88" s="50"/>
      <c r="E88" s="50"/>
      <c r="F88" s="50"/>
      <c r="G88" s="50"/>
      <c r="H88" s="51"/>
      <c r="I88" s="51"/>
      <c r="J88" s="51"/>
      <c r="K88" s="51"/>
      <c r="L88" s="51"/>
      <c r="M88" s="51"/>
      <c r="N88" s="51"/>
      <c r="O88" s="51"/>
      <c r="P88" s="51"/>
      <c r="Q88" s="51"/>
      <c r="R88" s="51"/>
      <c r="S88" s="51"/>
      <c r="T88" s="51"/>
      <c r="U88" s="51"/>
      <c r="V88" s="51"/>
      <c r="W88" s="51"/>
      <c r="AB88" s="86"/>
      <c r="AC88" s="86"/>
      <c r="AD88" s="86"/>
      <c r="AE88" s="86"/>
      <c r="AF88" s="86"/>
      <c r="AG88" s="86"/>
      <c r="AH88" s="87"/>
      <c r="AI88" s="87"/>
      <c r="AJ88" s="87"/>
      <c r="AK88" s="87"/>
      <c r="AL88" s="87"/>
      <c r="AM88" s="87"/>
      <c r="AN88" s="87"/>
      <c r="AO88" s="87"/>
      <c r="AP88" s="87"/>
      <c r="AQ88" s="87"/>
      <c r="AR88" s="87"/>
      <c r="AS88" s="87"/>
      <c r="AT88" s="87"/>
      <c r="AU88" s="87"/>
      <c r="AV88" s="87"/>
      <c r="AW88" s="87"/>
      <c r="AX88" s="87"/>
      <c r="AY88" s="88"/>
      <c r="AZ88" s="88"/>
      <c r="BA88" s="88"/>
      <c r="BB88" s="89"/>
    </row>
    <row r="89" spans="1:54" x14ac:dyDescent="0.3">
      <c r="A89" s="50"/>
      <c r="B89" s="50"/>
      <c r="C89" s="50"/>
      <c r="D89" s="50"/>
      <c r="E89" s="50"/>
      <c r="F89" s="50"/>
      <c r="G89" s="50"/>
      <c r="H89" s="51"/>
      <c r="I89" s="51"/>
      <c r="J89" s="51"/>
      <c r="K89" s="51"/>
      <c r="L89" s="51"/>
      <c r="M89" s="51"/>
      <c r="N89" s="51"/>
      <c r="O89" s="51"/>
      <c r="P89" s="51"/>
      <c r="Q89" s="51"/>
      <c r="R89" s="51"/>
      <c r="S89" s="51"/>
      <c r="T89" s="51"/>
      <c r="U89" s="51"/>
      <c r="V89" s="51"/>
      <c r="W89" s="51"/>
      <c r="AB89" s="86"/>
      <c r="AC89" s="86"/>
      <c r="AD89" s="86"/>
      <c r="AE89" s="86"/>
      <c r="AF89" s="86"/>
      <c r="AG89" s="86"/>
      <c r="AH89" s="87"/>
      <c r="AI89" s="87"/>
      <c r="AJ89" s="87"/>
      <c r="AK89" s="87"/>
      <c r="AL89" s="87"/>
      <c r="AM89" s="87"/>
      <c r="AN89" s="87"/>
      <c r="AO89" s="87"/>
      <c r="AP89" s="87"/>
      <c r="AQ89" s="87"/>
      <c r="AR89" s="87"/>
      <c r="AS89" s="87"/>
      <c r="AT89" s="87"/>
      <c r="AU89" s="87"/>
      <c r="AV89" s="87"/>
      <c r="AW89" s="87"/>
      <c r="AX89" s="87"/>
      <c r="AY89" s="88"/>
      <c r="AZ89" s="88"/>
      <c r="BA89" s="88"/>
      <c r="BB89" s="89"/>
    </row>
    <row r="90" spans="1:54" x14ac:dyDescent="0.3">
      <c r="A90" s="50"/>
      <c r="B90" s="50"/>
      <c r="C90" s="50"/>
      <c r="D90" s="50"/>
      <c r="E90" s="50"/>
      <c r="F90" s="50"/>
      <c r="G90" s="50"/>
      <c r="H90" s="51"/>
      <c r="I90" s="51"/>
      <c r="J90" s="51"/>
      <c r="K90" s="51"/>
      <c r="L90" s="51"/>
      <c r="M90" s="51"/>
      <c r="N90" s="51"/>
      <c r="O90" s="51"/>
      <c r="P90" s="51"/>
      <c r="Q90" s="51"/>
      <c r="R90" s="51"/>
      <c r="S90" s="51"/>
      <c r="T90" s="51"/>
      <c r="U90" s="51"/>
      <c r="V90" s="51"/>
      <c r="W90" s="51"/>
      <c r="AB90" s="86"/>
      <c r="AC90" s="86"/>
      <c r="AD90" s="86"/>
      <c r="AE90" s="86"/>
      <c r="AF90" s="86"/>
      <c r="AG90" s="86"/>
      <c r="AH90" s="87"/>
      <c r="AI90" s="87"/>
      <c r="AJ90" s="87"/>
      <c r="AK90" s="87"/>
      <c r="AL90" s="87"/>
      <c r="AM90" s="87"/>
      <c r="AN90" s="87"/>
      <c r="AO90" s="87"/>
      <c r="AP90" s="87"/>
      <c r="AQ90" s="87"/>
      <c r="AR90" s="87"/>
      <c r="AS90" s="87"/>
      <c r="AT90" s="87"/>
      <c r="AU90" s="87"/>
      <c r="AV90" s="87"/>
      <c r="AW90" s="87"/>
      <c r="AX90" s="87"/>
      <c r="AY90" s="88"/>
      <c r="AZ90" s="88"/>
      <c r="BA90" s="88"/>
      <c r="BB90" s="89"/>
    </row>
    <row r="91" spans="1:54" x14ac:dyDescent="0.3">
      <c r="A91" s="50"/>
      <c r="B91" s="50"/>
      <c r="C91" s="50"/>
      <c r="D91" s="50"/>
      <c r="E91" s="50"/>
      <c r="F91" s="50"/>
      <c r="G91" s="50"/>
      <c r="H91" s="51"/>
      <c r="I91" s="51"/>
      <c r="J91" s="51"/>
      <c r="K91" s="51"/>
      <c r="L91" s="51"/>
      <c r="M91" s="51"/>
      <c r="N91" s="51"/>
      <c r="O91" s="51"/>
      <c r="P91" s="51"/>
      <c r="Q91" s="51"/>
      <c r="R91" s="51"/>
      <c r="S91" s="51"/>
      <c r="T91" s="51"/>
      <c r="U91" s="51"/>
      <c r="V91" s="51"/>
      <c r="W91" s="51"/>
      <c r="AB91" s="86"/>
      <c r="AC91" s="86"/>
      <c r="AD91" s="86"/>
      <c r="AE91" s="86"/>
      <c r="AF91" s="86"/>
      <c r="AG91" s="86"/>
      <c r="AH91" s="87"/>
      <c r="AI91" s="87"/>
      <c r="AJ91" s="87"/>
      <c r="AK91" s="87"/>
      <c r="AL91" s="87"/>
      <c r="AM91" s="87"/>
      <c r="AN91" s="87"/>
      <c r="AO91" s="87"/>
      <c r="AP91" s="87"/>
      <c r="AQ91" s="87"/>
      <c r="AR91" s="87"/>
      <c r="AS91" s="87"/>
      <c r="AT91" s="87"/>
      <c r="AU91" s="87"/>
      <c r="AV91" s="87"/>
      <c r="AW91" s="87"/>
      <c r="AX91" s="87"/>
      <c r="AY91" s="88"/>
      <c r="AZ91" s="88"/>
      <c r="BA91" s="88"/>
      <c r="BB91" s="89"/>
    </row>
    <row r="92" spans="1:54" x14ac:dyDescent="0.3">
      <c r="A92" s="50"/>
      <c r="B92" s="50"/>
      <c r="C92" s="50"/>
      <c r="D92" s="50"/>
      <c r="E92" s="50"/>
      <c r="F92" s="50" t="s">
        <v>134</v>
      </c>
      <c r="G92" s="50"/>
      <c r="H92" s="51"/>
      <c r="I92" s="51"/>
      <c r="J92" s="51"/>
      <c r="K92" s="51"/>
      <c r="L92" s="51"/>
      <c r="M92" s="51"/>
      <c r="N92" s="51"/>
      <c r="O92" s="51"/>
      <c r="P92" s="51"/>
      <c r="Q92" s="51"/>
      <c r="R92" s="51"/>
      <c r="S92" s="51"/>
      <c r="T92" s="51"/>
      <c r="U92" s="51"/>
      <c r="V92" s="51"/>
      <c r="W92" s="51"/>
      <c r="AB92" s="86"/>
      <c r="AC92" s="86"/>
      <c r="AD92" s="86"/>
      <c r="AE92" s="86"/>
      <c r="AF92" s="86" t="s">
        <v>134</v>
      </c>
      <c r="AG92" s="86"/>
      <c r="AH92" s="87"/>
      <c r="AI92" s="87"/>
      <c r="AJ92" s="87"/>
      <c r="AK92" s="87"/>
      <c r="AL92" s="87"/>
      <c r="AM92" s="87"/>
      <c r="AN92" s="87"/>
      <c r="AO92" s="87"/>
      <c r="AP92" s="87"/>
      <c r="AQ92" s="87"/>
      <c r="AR92" s="87"/>
      <c r="AS92" s="87"/>
      <c r="AT92" s="87"/>
      <c r="AU92" s="87"/>
      <c r="AV92" s="87"/>
      <c r="AW92" s="87"/>
      <c r="AX92" s="87"/>
      <c r="AY92" s="88"/>
      <c r="AZ92" s="88"/>
      <c r="BA92" s="88"/>
      <c r="BB92" s="89"/>
    </row>
    <row r="93" spans="1:54" x14ac:dyDescent="0.3">
      <c r="A93" s="50"/>
      <c r="B93" s="50"/>
      <c r="C93" s="50"/>
      <c r="D93" s="50"/>
      <c r="E93" s="50"/>
      <c r="F93" s="50"/>
      <c r="G93" s="50" t="s">
        <v>135</v>
      </c>
      <c r="H93" s="51">
        <v>0</v>
      </c>
      <c r="I93" s="51">
        <v>750</v>
      </c>
      <c r="J93" s="51">
        <v>750</v>
      </c>
      <c r="K93" s="51">
        <v>750</v>
      </c>
      <c r="L93" s="51">
        <v>600</v>
      </c>
      <c r="M93" s="51">
        <v>600</v>
      </c>
      <c r="N93" s="51">
        <v>0</v>
      </c>
      <c r="O93" s="51">
        <v>750</v>
      </c>
      <c r="P93" s="51">
        <v>600</v>
      </c>
      <c r="Q93" s="51">
        <v>750</v>
      </c>
      <c r="R93" s="51">
        <v>750</v>
      </c>
      <c r="S93" s="51">
        <v>1500</v>
      </c>
      <c r="T93" s="51"/>
      <c r="U93" s="51">
        <f t="shared" ref="U93:U124" si="34">ROUND(SUM(H93:T93),5)</f>
        <v>7800</v>
      </c>
      <c r="V93" s="67">
        <v>11250</v>
      </c>
      <c r="W93" s="67">
        <v>11250</v>
      </c>
      <c r="X93" s="68" t="s">
        <v>246</v>
      </c>
      <c r="AB93" s="86"/>
      <c r="AC93" s="86"/>
      <c r="AD93" s="86"/>
      <c r="AE93" s="86"/>
      <c r="AF93" s="86"/>
      <c r="AG93" s="86" t="s">
        <v>135</v>
      </c>
      <c r="AH93" s="87"/>
      <c r="AI93" s="87"/>
      <c r="AJ93" s="87"/>
      <c r="AK93" s="87"/>
      <c r="AL93" s="87">
        <v>0</v>
      </c>
      <c r="AM93" s="87">
        <v>750</v>
      </c>
      <c r="AN93" s="87">
        <v>750</v>
      </c>
      <c r="AO93" s="87">
        <v>1500</v>
      </c>
      <c r="AP93" s="87">
        <v>0</v>
      </c>
      <c r="AQ93" s="87">
        <v>750</v>
      </c>
      <c r="AR93" s="87">
        <v>0</v>
      </c>
      <c r="AS93" s="87">
        <v>750</v>
      </c>
      <c r="AT93" s="87">
        <v>750</v>
      </c>
      <c r="AU93" s="87">
        <v>1500</v>
      </c>
      <c r="AV93" s="87">
        <v>0</v>
      </c>
      <c r="AW93" s="87">
        <v>1500</v>
      </c>
      <c r="AX93" s="87"/>
      <c r="AY93" s="88">
        <f t="shared" ref="AY93:AY124" si="35">ROUND(SUM(AH93:AX93),5)</f>
        <v>8250</v>
      </c>
      <c r="AZ93" s="88">
        <v>10500</v>
      </c>
      <c r="BA93" s="88">
        <v>11250</v>
      </c>
      <c r="BB93" s="89" t="s">
        <v>246</v>
      </c>
    </row>
    <row r="94" spans="1:54" x14ac:dyDescent="0.3">
      <c r="A94" s="50"/>
      <c r="B94" s="50"/>
      <c r="C94" s="50"/>
      <c r="D94" s="50"/>
      <c r="E94" s="50"/>
      <c r="F94" s="50"/>
      <c r="G94" s="50" t="s">
        <v>136</v>
      </c>
      <c r="H94" s="51">
        <v>258.55</v>
      </c>
      <c r="I94" s="51">
        <v>206.84</v>
      </c>
      <c r="J94" s="51">
        <v>0</v>
      </c>
      <c r="K94" s="51">
        <v>210.34</v>
      </c>
      <c r="L94" s="51">
        <v>332.12</v>
      </c>
      <c r="M94" s="51">
        <v>403.48</v>
      </c>
      <c r="N94" s="51">
        <v>405.04</v>
      </c>
      <c r="O94" s="51">
        <v>200.52</v>
      </c>
      <c r="P94" s="51">
        <v>131.38999999999999</v>
      </c>
      <c r="Q94" s="51">
        <v>454.67</v>
      </c>
      <c r="R94" s="51">
        <v>340.52</v>
      </c>
      <c r="S94" s="51">
        <v>250</v>
      </c>
      <c r="T94" s="51"/>
      <c r="U94" s="51">
        <f t="shared" si="34"/>
        <v>3193.47</v>
      </c>
      <c r="V94" s="67">
        <v>3600</v>
      </c>
      <c r="W94" s="67">
        <v>3600</v>
      </c>
      <c r="AB94" s="86"/>
      <c r="AC94" s="86"/>
      <c r="AD94" s="86"/>
      <c r="AE94" s="86"/>
      <c r="AF94" s="86"/>
      <c r="AG94" s="86" t="s">
        <v>136</v>
      </c>
      <c r="AH94" s="87"/>
      <c r="AI94" s="87"/>
      <c r="AJ94" s="87"/>
      <c r="AK94" s="87"/>
      <c r="AL94" s="87">
        <v>343.33</v>
      </c>
      <c r="AM94" s="87">
        <v>145.52000000000001</v>
      </c>
      <c r="AN94" s="87">
        <v>48.86</v>
      </c>
      <c r="AO94" s="87">
        <v>178.2</v>
      </c>
      <c r="AP94" s="87">
        <v>34.76</v>
      </c>
      <c r="AQ94" s="87">
        <v>320.76</v>
      </c>
      <c r="AR94" s="87">
        <v>60.83</v>
      </c>
      <c r="AS94" s="87">
        <v>0</v>
      </c>
      <c r="AT94" s="87">
        <v>438.46</v>
      </c>
      <c r="AU94" s="87">
        <v>295.25</v>
      </c>
      <c r="AV94" s="87">
        <v>422.36</v>
      </c>
      <c r="AW94" s="87">
        <v>0</v>
      </c>
      <c r="AX94" s="87"/>
      <c r="AY94" s="88">
        <f t="shared" si="35"/>
        <v>2288.33</v>
      </c>
      <c r="AZ94" s="88">
        <v>3100</v>
      </c>
      <c r="BA94" s="88">
        <v>3600</v>
      </c>
      <c r="BB94" s="89" t="s">
        <v>250</v>
      </c>
    </row>
    <row r="95" spans="1:54" x14ac:dyDescent="0.3">
      <c r="A95" s="50"/>
      <c r="B95" s="50"/>
      <c r="C95" s="50"/>
      <c r="D95" s="50"/>
      <c r="E95" s="50"/>
      <c r="F95" s="50"/>
      <c r="G95" s="50" t="s">
        <v>137</v>
      </c>
      <c r="H95" s="51">
        <v>0</v>
      </c>
      <c r="I95" s="51">
        <v>260.75</v>
      </c>
      <c r="J95" s="51">
        <v>0</v>
      </c>
      <c r="K95" s="51">
        <v>260.63</v>
      </c>
      <c r="L95" s="51">
        <v>551.49</v>
      </c>
      <c r="M95" s="51">
        <v>0</v>
      </c>
      <c r="N95" s="51">
        <v>470.42</v>
      </c>
      <c r="O95" s="51">
        <v>210.39</v>
      </c>
      <c r="P95" s="51">
        <v>210.39</v>
      </c>
      <c r="Q95" s="51">
        <v>420.66</v>
      </c>
      <c r="R95" s="51">
        <v>0</v>
      </c>
      <c r="S95" s="51">
        <v>512.9</v>
      </c>
      <c r="T95" s="51"/>
      <c r="U95" s="51">
        <f t="shared" si="34"/>
        <v>2897.63</v>
      </c>
      <c r="V95" s="67">
        <v>3300</v>
      </c>
      <c r="W95" s="67">
        <v>3300</v>
      </c>
      <c r="AB95" s="86"/>
      <c r="AC95" s="86"/>
      <c r="AD95" s="86"/>
      <c r="AE95" s="86"/>
      <c r="AF95" s="86"/>
      <c r="AG95" s="86" t="s">
        <v>137</v>
      </c>
      <c r="AH95" s="87"/>
      <c r="AI95" s="87"/>
      <c r="AJ95" s="87"/>
      <c r="AK95" s="87"/>
      <c r="AL95" s="87">
        <v>241.34</v>
      </c>
      <c r="AM95" s="87">
        <v>372.18</v>
      </c>
      <c r="AN95" s="87">
        <v>296.32</v>
      </c>
      <c r="AO95" s="87">
        <v>0</v>
      </c>
      <c r="AP95" s="87">
        <v>517.34</v>
      </c>
      <c r="AQ95" s="87">
        <v>256.20999999999998</v>
      </c>
      <c r="AR95" s="87">
        <v>256.41000000000003</v>
      </c>
      <c r="AS95" s="87">
        <v>256.41000000000003</v>
      </c>
      <c r="AT95" s="87">
        <v>256.41000000000003</v>
      </c>
      <c r="AU95" s="87">
        <v>256.47000000000003</v>
      </c>
      <c r="AV95" s="87">
        <v>240.82</v>
      </c>
      <c r="AW95" s="87">
        <v>240.82</v>
      </c>
      <c r="AX95" s="87"/>
      <c r="AY95" s="88">
        <f t="shared" si="35"/>
        <v>3190.73</v>
      </c>
      <c r="AZ95" s="88">
        <v>3900</v>
      </c>
      <c r="BA95" s="88">
        <v>3300</v>
      </c>
      <c r="BB95" s="89"/>
    </row>
    <row r="96" spans="1:54" ht="13.8" customHeight="1" x14ac:dyDescent="0.3">
      <c r="A96" s="50"/>
      <c r="B96" s="50"/>
      <c r="C96" s="50"/>
      <c r="D96" s="50"/>
      <c r="E96" s="50"/>
      <c r="F96" s="50"/>
      <c r="G96" s="50" t="s">
        <v>138</v>
      </c>
      <c r="H96" s="51">
        <v>0</v>
      </c>
      <c r="I96" s="51">
        <v>0</v>
      </c>
      <c r="J96" s="51">
        <v>0</v>
      </c>
      <c r="K96" s="51">
        <v>0</v>
      </c>
      <c r="L96" s="51">
        <v>0</v>
      </c>
      <c r="M96" s="51">
        <v>0</v>
      </c>
      <c r="N96" s="51">
        <v>0</v>
      </c>
      <c r="O96" s="51">
        <v>0</v>
      </c>
      <c r="P96" s="51">
        <v>0</v>
      </c>
      <c r="Q96" s="51">
        <v>0</v>
      </c>
      <c r="R96" s="51">
        <v>0</v>
      </c>
      <c r="S96" s="51">
        <v>0</v>
      </c>
      <c r="T96" s="51"/>
      <c r="U96" s="51">
        <f t="shared" si="34"/>
        <v>0</v>
      </c>
      <c r="V96" s="67">
        <v>0</v>
      </c>
      <c r="W96" s="67">
        <v>1200</v>
      </c>
      <c r="X96" s="68" t="s">
        <v>295</v>
      </c>
      <c r="AB96" s="86"/>
      <c r="AC96" s="86"/>
      <c r="AD96" s="86"/>
      <c r="AE96" s="86"/>
      <c r="AF96" s="86"/>
      <c r="AG96" s="86" t="s">
        <v>138</v>
      </c>
      <c r="AH96" s="87"/>
      <c r="AI96" s="87"/>
      <c r="AJ96" s="87"/>
      <c r="AK96" s="87"/>
      <c r="AL96" s="87">
        <v>0</v>
      </c>
      <c r="AM96" s="87">
        <v>0</v>
      </c>
      <c r="AN96" s="87">
        <v>0</v>
      </c>
      <c r="AO96" s="87">
        <v>0</v>
      </c>
      <c r="AP96" s="87">
        <v>0</v>
      </c>
      <c r="AQ96" s="87">
        <v>0</v>
      </c>
      <c r="AR96" s="87">
        <v>0</v>
      </c>
      <c r="AS96" s="87">
        <v>0</v>
      </c>
      <c r="AT96" s="87">
        <v>0</v>
      </c>
      <c r="AU96" s="87">
        <v>0</v>
      </c>
      <c r="AV96" s="87">
        <v>0</v>
      </c>
      <c r="AW96" s="87">
        <v>0</v>
      </c>
      <c r="AX96" s="87"/>
      <c r="AY96" s="88">
        <f t="shared" si="35"/>
        <v>0</v>
      </c>
      <c r="AZ96" s="88">
        <v>1100</v>
      </c>
      <c r="BA96" s="88">
        <v>0</v>
      </c>
      <c r="BB96" s="89" t="s">
        <v>248</v>
      </c>
    </row>
    <row r="97" spans="1:54" x14ac:dyDescent="0.3">
      <c r="A97" s="50"/>
      <c r="B97" s="50"/>
      <c r="C97" s="50"/>
      <c r="D97" s="50"/>
      <c r="E97" s="50"/>
      <c r="F97" s="50"/>
      <c r="G97" s="50" t="s">
        <v>139</v>
      </c>
      <c r="H97" s="51">
        <v>1321.74</v>
      </c>
      <c r="I97" s="51">
        <v>1321.74</v>
      </c>
      <c r="J97" s="51">
        <v>1321.74</v>
      </c>
      <c r="K97" s="51">
        <v>1321.74</v>
      </c>
      <c r="L97" s="51">
        <v>1371.24</v>
      </c>
      <c r="M97" s="51">
        <v>1371.24</v>
      </c>
      <c r="N97" s="51">
        <v>1371.24</v>
      </c>
      <c r="O97" s="51">
        <v>1371.24</v>
      </c>
      <c r="P97" s="51">
        <v>1371.24</v>
      </c>
      <c r="Q97" s="51">
        <v>1424.65</v>
      </c>
      <c r="R97" s="51">
        <v>1371.24</v>
      </c>
      <c r="S97" s="51">
        <v>1371.24</v>
      </c>
      <c r="T97" s="51"/>
      <c r="U97" s="51">
        <f t="shared" si="34"/>
        <v>16310.29</v>
      </c>
      <c r="V97" s="67">
        <v>15900</v>
      </c>
      <c r="W97" s="67">
        <v>20500</v>
      </c>
      <c r="X97" s="68" t="s">
        <v>302</v>
      </c>
      <c r="AB97" s="86"/>
      <c r="AC97" s="86"/>
      <c r="AD97" s="86"/>
      <c r="AE97" s="86"/>
      <c r="AF97" s="86"/>
      <c r="AG97" s="86" t="s">
        <v>139</v>
      </c>
      <c r="AH97" s="87"/>
      <c r="AI97" s="87"/>
      <c r="AJ97" s="87"/>
      <c r="AK97" s="87"/>
      <c r="AL97" s="87">
        <v>1196.9100000000001</v>
      </c>
      <c r="AM97" s="87">
        <v>1196.9100000000001</v>
      </c>
      <c r="AN97" s="87">
        <v>1196.9100000000001</v>
      </c>
      <c r="AO97" s="87">
        <v>1196.9100000000001</v>
      </c>
      <c r="AP97" s="87">
        <v>1196.9100000000001</v>
      </c>
      <c r="AQ97" s="87">
        <v>1196.9100000000001</v>
      </c>
      <c r="AR97" s="87">
        <v>1196.9100000000001</v>
      </c>
      <c r="AS97" s="87">
        <v>1196.9100000000001</v>
      </c>
      <c r="AT97" s="87">
        <v>1196.9100000000001</v>
      </c>
      <c r="AU97" s="87">
        <v>1196.9100000000001</v>
      </c>
      <c r="AV97" s="87">
        <v>1196.9100000000001</v>
      </c>
      <c r="AW97" s="87">
        <v>1196.9100000000001</v>
      </c>
      <c r="AX97" s="87"/>
      <c r="AY97" s="88">
        <f t="shared" si="35"/>
        <v>14362.92</v>
      </c>
      <c r="AZ97" s="88">
        <v>14400</v>
      </c>
      <c r="BA97" s="88">
        <v>15900</v>
      </c>
      <c r="BB97" s="89" t="s">
        <v>255</v>
      </c>
    </row>
    <row r="98" spans="1:54" x14ac:dyDescent="0.3">
      <c r="A98" s="50"/>
      <c r="B98" s="50"/>
      <c r="C98" s="50"/>
      <c r="D98" s="50"/>
      <c r="E98" s="50"/>
      <c r="F98" s="50"/>
      <c r="G98" s="50" t="s">
        <v>140</v>
      </c>
      <c r="H98" s="51">
        <v>0</v>
      </c>
      <c r="I98" s="51">
        <v>120</v>
      </c>
      <c r="J98" s="51">
        <v>0</v>
      </c>
      <c r="K98" s="51">
        <v>2669</v>
      </c>
      <c r="L98" s="51">
        <v>284</v>
      </c>
      <c r="M98" s="51">
        <v>0</v>
      </c>
      <c r="N98" s="51">
        <v>0</v>
      </c>
      <c r="O98" s="51">
        <v>175</v>
      </c>
      <c r="P98" s="51">
        <v>0</v>
      </c>
      <c r="Q98" s="51">
        <v>300</v>
      </c>
      <c r="R98" s="51">
        <v>0</v>
      </c>
      <c r="S98" s="51">
        <v>0</v>
      </c>
      <c r="T98" s="51"/>
      <c r="U98" s="51">
        <f t="shared" si="34"/>
        <v>3548</v>
      </c>
      <c r="V98" s="67">
        <v>2600</v>
      </c>
      <c r="W98" s="67">
        <v>3600</v>
      </c>
      <c r="X98" s="68" t="s">
        <v>258</v>
      </c>
      <c r="AB98" s="86"/>
      <c r="AC98" s="86"/>
      <c r="AD98" s="86"/>
      <c r="AE98" s="86"/>
      <c r="AF98" s="86"/>
      <c r="AG98" s="86" t="s">
        <v>140</v>
      </c>
      <c r="AH98" s="87"/>
      <c r="AI98" s="87"/>
      <c r="AJ98" s="87"/>
      <c r="AK98" s="87"/>
      <c r="AL98" s="87">
        <v>120</v>
      </c>
      <c r="AM98" s="87">
        <v>75</v>
      </c>
      <c r="AN98" s="87">
        <v>0</v>
      </c>
      <c r="AO98" s="87">
        <v>0</v>
      </c>
      <c r="AP98" s="87">
        <v>395</v>
      </c>
      <c r="AQ98" s="87">
        <v>1230</v>
      </c>
      <c r="AR98" s="87">
        <v>584</v>
      </c>
      <c r="AS98" s="87">
        <v>0</v>
      </c>
      <c r="AT98" s="87">
        <v>0</v>
      </c>
      <c r="AU98" s="87">
        <v>0</v>
      </c>
      <c r="AV98" s="87">
        <v>0</v>
      </c>
      <c r="AW98" s="87">
        <v>0</v>
      </c>
      <c r="AX98" s="87"/>
      <c r="AY98" s="88">
        <f t="shared" si="35"/>
        <v>2404</v>
      </c>
      <c r="AZ98" s="88">
        <v>2600</v>
      </c>
      <c r="BA98" s="88">
        <v>2600</v>
      </c>
      <c r="BB98" s="89"/>
    </row>
    <row r="99" spans="1:54" x14ac:dyDescent="0.3">
      <c r="A99" s="50"/>
      <c r="B99" s="50"/>
      <c r="C99" s="50"/>
      <c r="D99" s="50"/>
      <c r="E99" s="50"/>
      <c r="F99" s="50"/>
      <c r="G99" s="50" t="s">
        <v>141</v>
      </c>
      <c r="H99" s="51">
        <v>16</v>
      </c>
      <c r="I99" s="51">
        <v>16</v>
      </c>
      <c r="J99" s="51">
        <v>16</v>
      </c>
      <c r="K99" s="51">
        <v>16</v>
      </c>
      <c r="L99" s="51">
        <v>31</v>
      </c>
      <c r="M99" s="51">
        <v>16</v>
      </c>
      <c r="N99" s="51">
        <v>16</v>
      </c>
      <c r="O99" s="51">
        <v>26</v>
      </c>
      <c r="P99" s="51">
        <v>16</v>
      </c>
      <c r="Q99" s="51">
        <v>26</v>
      </c>
      <c r="R99" s="51">
        <v>16</v>
      </c>
      <c r="S99" s="51">
        <v>16</v>
      </c>
      <c r="T99" s="51"/>
      <c r="U99" s="51">
        <f t="shared" si="34"/>
        <v>227</v>
      </c>
      <c r="V99" s="67">
        <v>300</v>
      </c>
      <c r="W99" s="67">
        <v>300</v>
      </c>
      <c r="AB99" s="86"/>
      <c r="AC99" s="86"/>
      <c r="AD99" s="86"/>
      <c r="AE99" s="86"/>
      <c r="AF99" s="86"/>
      <c r="AG99" s="86" t="s">
        <v>141</v>
      </c>
      <c r="AH99" s="87"/>
      <c r="AI99" s="87"/>
      <c r="AJ99" s="87"/>
      <c r="AK99" s="87"/>
      <c r="AL99" s="87">
        <v>21</v>
      </c>
      <c r="AM99" s="87">
        <v>21</v>
      </c>
      <c r="AN99" s="87">
        <v>21</v>
      </c>
      <c r="AO99" s="87">
        <v>56</v>
      </c>
      <c r="AP99" s="87">
        <v>21</v>
      </c>
      <c r="AQ99" s="87">
        <v>21</v>
      </c>
      <c r="AR99" s="87">
        <v>21</v>
      </c>
      <c r="AS99" s="87">
        <v>16</v>
      </c>
      <c r="AT99" s="87">
        <v>16</v>
      </c>
      <c r="AU99" s="87">
        <v>16</v>
      </c>
      <c r="AV99" s="87">
        <v>21</v>
      </c>
      <c r="AW99" s="87">
        <v>21</v>
      </c>
      <c r="AX99" s="87"/>
      <c r="AY99" s="88">
        <f t="shared" si="35"/>
        <v>272</v>
      </c>
      <c r="AZ99" s="88">
        <v>800</v>
      </c>
      <c r="BA99" s="88">
        <v>300</v>
      </c>
      <c r="BB99" s="89"/>
    </row>
    <row r="100" spans="1:54" x14ac:dyDescent="0.3">
      <c r="A100" s="50"/>
      <c r="B100" s="50"/>
      <c r="C100" s="50"/>
      <c r="D100" s="50"/>
      <c r="E100" s="50"/>
      <c r="F100" s="50"/>
      <c r="G100" s="50" t="s">
        <v>142</v>
      </c>
      <c r="H100" s="51">
        <v>0</v>
      </c>
      <c r="I100" s="51">
        <v>0</v>
      </c>
      <c r="J100" s="51">
        <v>0</v>
      </c>
      <c r="K100" s="51">
        <v>0</v>
      </c>
      <c r="L100" s="51">
        <v>0</v>
      </c>
      <c r="M100" s="51">
        <v>0</v>
      </c>
      <c r="N100" s="51">
        <v>0</v>
      </c>
      <c r="O100" s="51">
        <v>0</v>
      </c>
      <c r="P100" s="51">
        <v>0</v>
      </c>
      <c r="Q100" s="51">
        <v>149.9</v>
      </c>
      <c r="R100" s="51">
        <v>2.99</v>
      </c>
      <c r="S100" s="51">
        <v>0</v>
      </c>
      <c r="T100" s="51"/>
      <c r="U100" s="51">
        <f t="shared" si="34"/>
        <v>152.88999999999999</v>
      </c>
      <c r="V100" s="67">
        <v>2000</v>
      </c>
      <c r="W100" s="67">
        <v>500</v>
      </c>
      <c r="AB100" s="86"/>
      <c r="AC100" s="86"/>
      <c r="AD100" s="86"/>
      <c r="AE100" s="86"/>
      <c r="AF100" s="86"/>
      <c r="AG100" s="86" t="s">
        <v>142</v>
      </c>
      <c r="AH100" s="87"/>
      <c r="AI100" s="87"/>
      <c r="AJ100" s="87"/>
      <c r="AK100" s="87"/>
      <c r="AL100" s="87">
        <v>0</v>
      </c>
      <c r="AM100" s="87">
        <v>0</v>
      </c>
      <c r="AN100" s="87">
        <v>0</v>
      </c>
      <c r="AO100" s="87">
        <v>0</v>
      </c>
      <c r="AP100" s="87">
        <v>837.34</v>
      </c>
      <c r="AQ100" s="87">
        <v>0</v>
      </c>
      <c r="AR100" s="87">
        <v>0</v>
      </c>
      <c r="AS100" s="87">
        <v>0</v>
      </c>
      <c r="AT100" s="87">
        <v>0</v>
      </c>
      <c r="AU100" s="87">
        <v>0</v>
      </c>
      <c r="AV100" s="87">
        <v>0</v>
      </c>
      <c r="AW100" s="87">
        <v>1850</v>
      </c>
      <c r="AX100" s="87"/>
      <c r="AY100" s="88">
        <f t="shared" si="35"/>
        <v>2687.34</v>
      </c>
      <c r="AZ100" s="88">
        <v>1500</v>
      </c>
      <c r="BA100" s="88">
        <v>2000</v>
      </c>
      <c r="BB100" s="89" t="s">
        <v>258</v>
      </c>
    </row>
    <row r="101" spans="1:54" x14ac:dyDescent="0.3">
      <c r="A101" s="50"/>
      <c r="B101" s="50"/>
      <c r="C101" s="50"/>
      <c r="D101" s="50"/>
      <c r="E101" s="50"/>
      <c r="F101" s="50"/>
      <c r="G101" s="50" t="s">
        <v>143</v>
      </c>
      <c r="H101" s="51">
        <v>2.99</v>
      </c>
      <c r="I101" s="51">
        <v>356.44</v>
      </c>
      <c r="J101" s="51">
        <v>356.92</v>
      </c>
      <c r="K101" s="51">
        <v>356.92</v>
      </c>
      <c r="L101" s="51">
        <v>848.03</v>
      </c>
      <c r="M101" s="51">
        <v>497.98</v>
      </c>
      <c r="N101" s="51">
        <v>354.64</v>
      </c>
      <c r="O101" s="51">
        <v>371.91</v>
      </c>
      <c r="P101" s="51">
        <v>815.47</v>
      </c>
      <c r="Q101" s="51">
        <v>374.57</v>
      </c>
      <c r="R101" s="51">
        <v>0</v>
      </c>
      <c r="S101" s="51">
        <v>566.09</v>
      </c>
      <c r="T101" s="51"/>
      <c r="U101" s="51">
        <f t="shared" si="34"/>
        <v>4901.96</v>
      </c>
      <c r="V101" s="67">
        <v>7000</v>
      </c>
      <c r="W101" s="67">
        <v>7000</v>
      </c>
      <c r="AB101" s="86"/>
      <c r="AC101" s="86"/>
      <c r="AD101" s="86"/>
      <c r="AE101" s="86"/>
      <c r="AF101" s="86"/>
      <c r="AG101" s="86" t="s">
        <v>143</v>
      </c>
      <c r="AH101" s="87"/>
      <c r="AI101" s="87"/>
      <c r="AJ101" s="87"/>
      <c r="AK101" s="87"/>
      <c r="AL101" s="87">
        <v>2.99</v>
      </c>
      <c r="AM101" s="87">
        <v>488.86</v>
      </c>
      <c r="AN101" s="87">
        <v>346.22</v>
      </c>
      <c r="AO101" s="87">
        <v>418.45</v>
      </c>
      <c r="AP101" s="87">
        <v>349.26</v>
      </c>
      <c r="AQ101" s="87">
        <v>350.07</v>
      </c>
      <c r="AR101" s="87">
        <v>620.41999999999996</v>
      </c>
      <c r="AS101" s="87">
        <v>349.84</v>
      </c>
      <c r="AT101" s="87">
        <v>350.02</v>
      </c>
      <c r="AU101" s="87">
        <v>496.21</v>
      </c>
      <c r="AV101" s="87">
        <v>887.43</v>
      </c>
      <c r="AW101" s="87">
        <v>361.82</v>
      </c>
      <c r="AX101" s="87"/>
      <c r="AY101" s="88">
        <f t="shared" si="35"/>
        <v>5021.59</v>
      </c>
      <c r="AZ101" s="88">
        <v>7000</v>
      </c>
      <c r="BA101" s="88">
        <v>7000</v>
      </c>
      <c r="BB101" s="89"/>
    </row>
    <row r="102" spans="1:54" x14ac:dyDescent="0.3">
      <c r="A102" s="50"/>
      <c r="B102" s="50"/>
      <c r="C102" s="50"/>
      <c r="D102" s="50"/>
      <c r="E102" s="50"/>
      <c r="F102" s="50"/>
      <c r="G102" s="50" t="s">
        <v>144</v>
      </c>
      <c r="H102" s="51">
        <v>0</v>
      </c>
      <c r="I102" s="51">
        <v>0</v>
      </c>
      <c r="J102" s="51">
        <v>0</v>
      </c>
      <c r="K102" s="51">
        <v>0</v>
      </c>
      <c r="L102" s="51">
        <v>0</v>
      </c>
      <c r="M102" s="51">
        <v>0</v>
      </c>
      <c r="N102" s="51">
        <v>418.65</v>
      </c>
      <c r="O102" s="51">
        <v>0</v>
      </c>
      <c r="P102" s="51">
        <v>270.52</v>
      </c>
      <c r="Q102" s="51">
        <v>0</v>
      </c>
      <c r="R102" s="51">
        <v>0</v>
      </c>
      <c r="S102" s="51">
        <v>0</v>
      </c>
      <c r="T102" s="51"/>
      <c r="U102" s="51">
        <f t="shared" si="34"/>
        <v>689.17</v>
      </c>
      <c r="V102" s="67">
        <v>0</v>
      </c>
      <c r="W102" s="67">
        <v>1000</v>
      </c>
      <c r="X102" s="68" t="s">
        <v>296</v>
      </c>
      <c r="AB102" s="86"/>
      <c r="AC102" s="86"/>
      <c r="AD102" s="86"/>
      <c r="AE102" s="86"/>
      <c r="AF102" s="86"/>
      <c r="AG102" s="86" t="s">
        <v>144</v>
      </c>
      <c r="AH102" s="87"/>
      <c r="AI102" s="87"/>
      <c r="AJ102" s="87"/>
      <c r="AK102" s="87"/>
      <c r="AL102" s="87">
        <v>0</v>
      </c>
      <c r="AM102" s="87">
        <v>0</v>
      </c>
      <c r="AN102" s="87">
        <v>0</v>
      </c>
      <c r="AO102" s="87">
        <v>0</v>
      </c>
      <c r="AP102" s="87">
        <v>0</v>
      </c>
      <c r="AQ102" s="87">
        <v>0</v>
      </c>
      <c r="AR102" s="87">
        <v>0</v>
      </c>
      <c r="AS102" s="87">
        <v>0</v>
      </c>
      <c r="AT102" s="87">
        <v>0</v>
      </c>
      <c r="AU102" s="87">
        <v>0</v>
      </c>
      <c r="AV102" s="87">
        <v>0</v>
      </c>
      <c r="AW102" s="87">
        <v>0</v>
      </c>
      <c r="AX102" s="87"/>
      <c r="AY102" s="88">
        <f t="shared" si="35"/>
        <v>0</v>
      </c>
      <c r="AZ102" s="88">
        <v>1200</v>
      </c>
      <c r="BA102" s="88">
        <v>0</v>
      </c>
      <c r="BB102" s="89" t="s">
        <v>248</v>
      </c>
    </row>
    <row r="103" spans="1:54" x14ac:dyDescent="0.3">
      <c r="A103" s="50"/>
      <c r="B103" s="50"/>
      <c r="C103" s="50"/>
      <c r="D103" s="50"/>
      <c r="E103" s="50"/>
      <c r="F103" s="50"/>
      <c r="G103" s="50" t="s">
        <v>145</v>
      </c>
      <c r="H103" s="51">
        <v>364.31</v>
      </c>
      <c r="I103" s="51">
        <v>41.55</v>
      </c>
      <c r="J103" s="51">
        <v>778.44</v>
      </c>
      <c r="K103" s="51">
        <v>71.599999999999994</v>
      </c>
      <c r="L103" s="51">
        <v>0</v>
      </c>
      <c r="M103" s="51">
        <v>601.58000000000004</v>
      </c>
      <c r="N103" s="51">
        <v>0</v>
      </c>
      <c r="O103" s="51">
        <v>0</v>
      </c>
      <c r="P103" s="51">
        <v>411.56</v>
      </c>
      <c r="Q103" s="51">
        <v>137.16999999999999</v>
      </c>
      <c r="R103" s="51">
        <v>0</v>
      </c>
      <c r="S103" s="51">
        <v>134.16</v>
      </c>
      <c r="T103" s="51"/>
      <c r="U103" s="51">
        <f t="shared" si="34"/>
        <v>2540.37</v>
      </c>
      <c r="V103" s="67">
        <v>3000</v>
      </c>
      <c r="W103" s="67">
        <v>3000</v>
      </c>
      <c r="AB103" s="86"/>
      <c r="AC103" s="86"/>
      <c r="AD103" s="86"/>
      <c r="AE103" s="86"/>
      <c r="AF103" s="86"/>
      <c r="AG103" s="86" t="s">
        <v>145</v>
      </c>
      <c r="AH103" s="87"/>
      <c r="AI103" s="87"/>
      <c r="AJ103" s="87"/>
      <c r="AK103" s="87"/>
      <c r="AL103" s="87">
        <v>195.95</v>
      </c>
      <c r="AM103" s="87">
        <v>275.38</v>
      </c>
      <c r="AN103" s="87">
        <v>60.79</v>
      </c>
      <c r="AO103" s="87">
        <v>107.39</v>
      </c>
      <c r="AP103" s="87">
        <v>191.56</v>
      </c>
      <c r="AQ103" s="87">
        <v>69.58</v>
      </c>
      <c r="AR103" s="87">
        <v>0</v>
      </c>
      <c r="AS103" s="87">
        <v>89.08</v>
      </c>
      <c r="AT103" s="87">
        <v>113.48</v>
      </c>
      <c r="AU103" s="87">
        <v>162.65</v>
      </c>
      <c r="AV103" s="87">
        <v>59.88</v>
      </c>
      <c r="AW103" s="87">
        <v>17.399999999999999</v>
      </c>
      <c r="AX103" s="87"/>
      <c r="AY103" s="88">
        <f t="shared" si="35"/>
        <v>1343.14</v>
      </c>
      <c r="AZ103" s="88">
        <v>3000</v>
      </c>
      <c r="BA103" s="88">
        <v>3000</v>
      </c>
      <c r="BB103" s="89"/>
    </row>
    <row r="104" spans="1:54" x14ac:dyDescent="0.3">
      <c r="A104" s="50"/>
      <c r="B104" s="50"/>
      <c r="C104" s="50"/>
      <c r="D104" s="50"/>
      <c r="E104" s="50"/>
      <c r="F104" s="50"/>
      <c r="G104" s="50" t="s">
        <v>146</v>
      </c>
      <c r="H104" s="51">
        <v>0</v>
      </c>
      <c r="I104" s="51">
        <v>0</v>
      </c>
      <c r="J104" s="51">
        <v>160.51</v>
      </c>
      <c r="K104" s="51">
        <v>232</v>
      </c>
      <c r="L104" s="51">
        <v>0</v>
      </c>
      <c r="M104" s="51">
        <v>0</v>
      </c>
      <c r="N104" s="51">
        <v>0</v>
      </c>
      <c r="O104" s="51">
        <v>0</v>
      </c>
      <c r="P104" s="51">
        <v>0</v>
      </c>
      <c r="Q104" s="51">
        <v>232</v>
      </c>
      <c r="R104" s="51">
        <v>0</v>
      </c>
      <c r="S104" s="51">
        <v>245</v>
      </c>
      <c r="T104" s="51"/>
      <c r="U104" s="51">
        <f t="shared" si="34"/>
        <v>869.51</v>
      </c>
      <c r="V104" s="67">
        <v>1000</v>
      </c>
      <c r="W104" s="67">
        <v>1000</v>
      </c>
      <c r="AB104" s="86"/>
      <c r="AC104" s="86"/>
      <c r="AD104" s="86"/>
      <c r="AE104" s="86"/>
      <c r="AF104" s="86"/>
      <c r="AG104" s="86" t="s">
        <v>146</v>
      </c>
      <c r="AH104" s="87"/>
      <c r="AI104" s="87"/>
      <c r="AJ104" s="87"/>
      <c r="AK104" s="87"/>
      <c r="AL104" s="87">
        <v>110</v>
      </c>
      <c r="AM104" s="87">
        <v>0</v>
      </c>
      <c r="AN104" s="87">
        <v>136.35</v>
      </c>
      <c r="AO104" s="87">
        <v>0</v>
      </c>
      <c r="AP104" s="87">
        <v>0</v>
      </c>
      <c r="AQ104" s="87">
        <v>0</v>
      </c>
      <c r="AR104" s="87">
        <v>220</v>
      </c>
      <c r="AS104" s="87">
        <v>0</v>
      </c>
      <c r="AT104" s="87">
        <v>0</v>
      </c>
      <c r="AU104" s="87">
        <v>44.39</v>
      </c>
      <c r="AV104" s="87">
        <v>0</v>
      </c>
      <c r="AW104" s="87">
        <v>240</v>
      </c>
      <c r="AX104" s="87"/>
      <c r="AY104" s="88">
        <f t="shared" si="35"/>
        <v>750.74</v>
      </c>
      <c r="AZ104" s="88">
        <v>1000</v>
      </c>
      <c r="BA104" s="88">
        <v>1000</v>
      </c>
      <c r="BB104" s="89"/>
    </row>
    <row r="105" spans="1:54" x14ac:dyDescent="0.3">
      <c r="A105" s="50"/>
      <c r="B105" s="50"/>
      <c r="C105" s="50"/>
      <c r="D105" s="50"/>
      <c r="E105" s="50"/>
      <c r="F105" s="50"/>
      <c r="G105" s="50" t="s">
        <v>147</v>
      </c>
      <c r="H105" s="51">
        <v>0</v>
      </c>
      <c r="I105" s="51">
        <v>0</v>
      </c>
      <c r="J105" s="51">
        <v>0</v>
      </c>
      <c r="K105" s="51">
        <v>0</v>
      </c>
      <c r="L105" s="51">
        <v>803.32</v>
      </c>
      <c r="M105" s="51">
        <v>0</v>
      </c>
      <c r="N105" s="51">
        <v>0</v>
      </c>
      <c r="O105" s="51">
        <v>0</v>
      </c>
      <c r="P105" s="51">
        <v>5.98</v>
      </c>
      <c r="Q105" s="51">
        <v>0</v>
      </c>
      <c r="R105" s="51">
        <v>0</v>
      </c>
      <c r="S105" s="51">
        <v>369.97</v>
      </c>
      <c r="T105" s="51"/>
      <c r="U105" s="51">
        <f t="shared" si="34"/>
        <v>1179.27</v>
      </c>
      <c r="V105" s="67">
        <v>2500</v>
      </c>
      <c r="W105" s="67">
        <v>2500</v>
      </c>
      <c r="AB105" s="86"/>
      <c r="AC105" s="86"/>
      <c r="AD105" s="86"/>
      <c r="AE105" s="86"/>
      <c r="AF105" s="86"/>
      <c r="AG105" s="86" t="s">
        <v>147</v>
      </c>
      <c r="AH105" s="87"/>
      <c r="AI105" s="87"/>
      <c r="AJ105" s="87"/>
      <c r="AK105" s="87"/>
      <c r="AL105" s="87">
        <v>42.34</v>
      </c>
      <c r="AM105" s="87">
        <v>0</v>
      </c>
      <c r="AN105" s="87">
        <v>0</v>
      </c>
      <c r="AO105" s="87">
        <v>0</v>
      </c>
      <c r="AP105" s="87">
        <v>0</v>
      </c>
      <c r="AQ105" s="87">
        <v>0</v>
      </c>
      <c r="AR105" s="87">
        <v>0</v>
      </c>
      <c r="AS105" s="87">
        <v>0</v>
      </c>
      <c r="AT105" s="87">
        <v>0</v>
      </c>
      <c r="AU105" s="87">
        <v>195.72</v>
      </c>
      <c r="AV105" s="87">
        <v>570.48</v>
      </c>
      <c r="AW105" s="87">
        <v>2.99</v>
      </c>
      <c r="AX105" s="87"/>
      <c r="AY105" s="88">
        <f t="shared" si="35"/>
        <v>811.53</v>
      </c>
      <c r="AZ105" s="88">
        <v>4000</v>
      </c>
      <c r="BA105" s="88">
        <v>2500</v>
      </c>
      <c r="BB105" s="89"/>
    </row>
    <row r="106" spans="1:54" x14ac:dyDescent="0.3">
      <c r="A106" s="50"/>
      <c r="B106" s="50"/>
      <c r="C106" s="50"/>
      <c r="D106" s="50"/>
      <c r="E106" s="50"/>
      <c r="F106" s="50"/>
      <c r="G106" s="50" t="s">
        <v>232</v>
      </c>
      <c r="H106" s="51">
        <v>92.05</v>
      </c>
      <c r="I106" s="51">
        <v>0</v>
      </c>
      <c r="J106" s="51">
        <v>0</v>
      </c>
      <c r="K106" s="51">
        <v>0</v>
      </c>
      <c r="L106" s="51">
        <v>0</v>
      </c>
      <c r="M106" s="51">
        <v>0</v>
      </c>
      <c r="N106" s="51">
        <v>0</v>
      </c>
      <c r="O106" s="51">
        <v>53.22</v>
      </c>
      <c r="P106" s="51">
        <v>0</v>
      </c>
      <c r="Q106" s="51">
        <v>30.5</v>
      </c>
      <c r="R106" s="51">
        <v>0</v>
      </c>
      <c r="S106" s="51">
        <v>0</v>
      </c>
      <c r="T106" s="51"/>
      <c r="U106" s="51">
        <f t="shared" si="34"/>
        <v>175.77</v>
      </c>
      <c r="V106" s="67">
        <v>2400</v>
      </c>
      <c r="W106" s="67">
        <v>2400</v>
      </c>
      <c r="AB106" s="86"/>
      <c r="AC106" s="86"/>
      <c r="AD106" s="86"/>
      <c r="AE106" s="86"/>
      <c r="AF106" s="86"/>
      <c r="AG106" s="86" t="s">
        <v>232</v>
      </c>
      <c r="AH106" s="87"/>
      <c r="AI106" s="87"/>
      <c r="AJ106" s="87"/>
      <c r="AK106" s="87"/>
      <c r="AL106" s="87">
        <v>0</v>
      </c>
      <c r="AM106" s="87">
        <v>22.04</v>
      </c>
      <c r="AN106" s="87">
        <v>0</v>
      </c>
      <c r="AO106" s="87">
        <v>0</v>
      </c>
      <c r="AP106" s="87">
        <v>0</v>
      </c>
      <c r="AQ106" s="87">
        <v>0</v>
      </c>
      <c r="AR106" s="87">
        <v>0</v>
      </c>
      <c r="AS106" s="87">
        <v>0</v>
      </c>
      <c r="AT106" s="87">
        <v>0</v>
      </c>
      <c r="AU106" s="87">
        <v>0</v>
      </c>
      <c r="AV106" s="87">
        <v>0</v>
      </c>
      <c r="AW106" s="87">
        <v>0</v>
      </c>
      <c r="AX106" s="87"/>
      <c r="AY106" s="88">
        <f t="shared" si="35"/>
        <v>22.04</v>
      </c>
      <c r="AZ106" s="88">
        <v>0</v>
      </c>
      <c r="BA106" s="88">
        <v>2400</v>
      </c>
      <c r="BB106" s="89" t="s">
        <v>249</v>
      </c>
    </row>
    <row r="107" spans="1:54" x14ac:dyDescent="0.3">
      <c r="A107" s="50"/>
      <c r="B107" s="50"/>
      <c r="C107" s="50"/>
      <c r="D107" s="50"/>
      <c r="E107" s="50"/>
      <c r="F107" s="50"/>
      <c r="G107" s="50" t="s">
        <v>148</v>
      </c>
      <c r="H107" s="51">
        <v>115</v>
      </c>
      <c r="I107" s="51">
        <v>115</v>
      </c>
      <c r="J107" s="51">
        <v>230</v>
      </c>
      <c r="K107" s="51">
        <v>0</v>
      </c>
      <c r="L107" s="51">
        <v>115</v>
      </c>
      <c r="M107" s="51">
        <v>115</v>
      </c>
      <c r="N107" s="51">
        <v>115</v>
      </c>
      <c r="O107" s="51">
        <v>115</v>
      </c>
      <c r="P107" s="51">
        <v>115</v>
      </c>
      <c r="Q107" s="51">
        <v>115</v>
      </c>
      <c r="R107" s="51">
        <v>115</v>
      </c>
      <c r="S107" s="51">
        <v>115</v>
      </c>
      <c r="T107" s="51"/>
      <c r="U107" s="51">
        <f t="shared" si="34"/>
        <v>1380</v>
      </c>
      <c r="V107" s="67">
        <v>1400</v>
      </c>
      <c r="W107" s="67">
        <v>1400</v>
      </c>
      <c r="AB107" s="86"/>
      <c r="AC107" s="86"/>
      <c r="AD107" s="86"/>
      <c r="AE107" s="86"/>
      <c r="AF107" s="86"/>
      <c r="AG107" s="86" t="s">
        <v>148</v>
      </c>
      <c r="AH107" s="87"/>
      <c r="AI107" s="87"/>
      <c r="AJ107" s="87"/>
      <c r="AK107" s="87"/>
      <c r="AL107" s="87">
        <v>116</v>
      </c>
      <c r="AM107" s="87">
        <v>116</v>
      </c>
      <c r="AN107" s="87">
        <v>241</v>
      </c>
      <c r="AO107" s="87">
        <v>0</v>
      </c>
      <c r="AP107" s="87">
        <v>115</v>
      </c>
      <c r="AQ107" s="87">
        <v>115</v>
      </c>
      <c r="AR107" s="87">
        <v>115</v>
      </c>
      <c r="AS107" s="87">
        <v>230</v>
      </c>
      <c r="AT107" s="87">
        <v>0</v>
      </c>
      <c r="AU107" s="87">
        <v>115</v>
      </c>
      <c r="AV107" s="87">
        <v>116</v>
      </c>
      <c r="AW107" s="87">
        <v>116</v>
      </c>
      <c r="AX107" s="87"/>
      <c r="AY107" s="88">
        <f t="shared" si="35"/>
        <v>1395</v>
      </c>
      <c r="AZ107" s="88">
        <v>1500</v>
      </c>
      <c r="BA107" s="88">
        <v>1400</v>
      </c>
      <c r="BB107" s="89"/>
    </row>
    <row r="108" spans="1:54" x14ac:dyDescent="0.3">
      <c r="A108" s="50"/>
      <c r="B108" s="50"/>
      <c r="C108" s="50"/>
      <c r="D108" s="50"/>
      <c r="E108" s="50"/>
      <c r="F108" s="50"/>
      <c r="G108" s="50" t="s">
        <v>149</v>
      </c>
      <c r="H108" s="51">
        <v>287.19</v>
      </c>
      <c r="I108" s="51">
        <v>277.58999999999997</v>
      </c>
      <c r="J108" s="51">
        <v>296</v>
      </c>
      <c r="K108" s="51">
        <v>391.54</v>
      </c>
      <c r="L108" s="51">
        <v>266.11</v>
      </c>
      <c r="M108" s="51">
        <v>294.98</v>
      </c>
      <c r="N108" s="51">
        <v>436.26</v>
      </c>
      <c r="O108" s="51">
        <v>30.18</v>
      </c>
      <c r="P108" s="51">
        <v>26.68</v>
      </c>
      <c r="Q108" s="51">
        <v>428.65</v>
      </c>
      <c r="R108" s="51">
        <v>287.55</v>
      </c>
      <c r="S108" s="51">
        <v>270.11</v>
      </c>
      <c r="T108" s="51"/>
      <c r="U108" s="51">
        <f t="shared" si="34"/>
        <v>3292.84</v>
      </c>
      <c r="V108" s="67">
        <v>4100</v>
      </c>
      <c r="W108" s="67">
        <v>4100</v>
      </c>
      <c r="AB108" s="86"/>
      <c r="AC108" s="86"/>
      <c r="AD108" s="86"/>
      <c r="AE108" s="86"/>
      <c r="AF108" s="86"/>
      <c r="AG108" s="86" t="s">
        <v>149</v>
      </c>
      <c r="AH108" s="87"/>
      <c r="AI108" s="87"/>
      <c r="AJ108" s="87"/>
      <c r="AK108" s="87"/>
      <c r="AL108" s="87">
        <v>278.04000000000002</v>
      </c>
      <c r="AM108" s="87">
        <v>270.92</v>
      </c>
      <c r="AN108" s="87">
        <v>259.54000000000002</v>
      </c>
      <c r="AO108" s="87">
        <v>435.49</v>
      </c>
      <c r="AP108" s="87">
        <v>221.98</v>
      </c>
      <c r="AQ108" s="87">
        <v>279.07</v>
      </c>
      <c r="AR108" s="87">
        <v>425.18</v>
      </c>
      <c r="AS108" s="87">
        <v>276.11</v>
      </c>
      <c r="AT108" s="87">
        <v>276.11</v>
      </c>
      <c r="AU108" s="87">
        <v>463.17</v>
      </c>
      <c r="AV108" s="87">
        <v>370.92</v>
      </c>
      <c r="AW108" s="87">
        <v>400.19</v>
      </c>
      <c r="AX108" s="87"/>
      <c r="AY108" s="88">
        <f t="shared" si="35"/>
        <v>3956.72</v>
      </c>
      <c r="AZ108" s="88">
        <v>4200</v>
      </c>
      <c r="BA108" s="88">
        <v>4100</v>
      </c>
      <c r="BB108" s="89"/>
    </row>
    <row r="109" spans="1:54" x14ac:dyDescent="0.3">
      <c r="A109" s="50"/>
      <c r="B109" s="50"/>
      <c r="C109" s="50"/>
      <c r="D109" s="50"/>
      <c r="E109" s="50"/>
      <c r="F109" s="50"/>
      <c r="G109" s="50" t="s">
        <v>150</v>
      </c>
      <c r="H109" s="51">
        <v>0</v>
      </c>
      <c r="I109" s="51">
        <v>0</v>
      </c>
      <c r="J109" s="51">
        <v>0</v>
      </c>
      <c r="K109" s="51">
        <v>9900</v>
      </c>
      <c r="L109" s="51">
        <v>0</v>
      </c>
      <c r="M109" s="51">
        <v>0</v>
      </c>
      <c r="N109" s="51">
        <v>1100</v>
      </c>
      <c r="O109" s="51">
        <v>0</v>
      </c>
      <c r="P109" s="51">
        <v>0</v>
      </c>
      <c r="Q109" s="51">
        <v>0</v>
      </c>
      <c r="R109" s="51">
        <v>0</v>
      </c>
      <c r="S109" s="51">
        <v>0</v>
      </c>
      <c r="T109" s="51"/>
      <c r="U109" s="51">
        <f t="shared" si="34"/>
        <v>11000</v>
      </c>
      <c r="V109" s="67">
        <v>11000</v>
      </c>
      <c r="W109" s="67">
        <v>10500</v>
      </c>
      <c r="AB109" s="86"/>
      <c r="AC109" s="86"/>
      <c r="AD109" s="86"/>
      <c r="AE109" s="86"/>
      <c r="AF109" s="86"/>
      <c r="AG109" s="86" t="s">
        <v>150</v>
      </c>
      <c r="AH109" s="87"/>
      <c r="AI109" s="87"/>
      <c r="AJ109" s="87"/>
      <c r="AK109" s="87"/>
      <c r="AL109" s="87">
        <v>0</v>
      </c>
      <c r="AM109" s="87">
        <v>8240</v>
      </c>
      <c r="AN109" s="87">
        <v>2060</v>
      </c>
      <c r="AO109" s="87">
        <v>0</v>
      </c>
      <c r="AP109" s="87">
        <v>0</v>
      </c>
      <c r="AQ109" s="87">
        <v>0</v>
      </c>
      <c r="AR109" s="87">
        <v>0</v>
      </c>
      <c r="AS109" s="87">
        <v>0</v>
      </c>
      <c r="AT109" s="87">
        <v>0</v>
      </c>
      <c r="AU109" s="87">
        <v>0</v>
      </c>
      <c r="AV109" s="87">
        <v>0</v>
      </c>
      <c r="AW109" s="87">
        <v>0</v>
      </c>
      <c r="AX109" s="87"/>
      <c r="AY109" s="88">
        <f t="shared" si="35"/>
        <v>10300</v>
      </c>
      <c r="AZ109" s="88">
        <v>12000</v>
      </c>
      <c r="BA109" s="88">
        <v>11000</v>
      </c>
      <c r="BB109" s="89"/>
    </row>
    <row r="110" spans="1:54" x14ac:dyDescent="0.3">
      <c r="A110" s="50"/>
      <c r="B110" s="50"/>
      <c r="C110" s="50"/>
      <c r="D110" s="50"/>
      <c r="E110" s="50"/>
      <c r="F110" s="50"/>
      <c r="G110" s="50" t="s">
        <v>151</v>
      </c>
      <c r="H110" s="51">
        <v>770</v>
      </c>
      <c r="I110" s="51">
        <v>1017.5</v>
      </c>
      <c r="J110" s="51">
        <v>1540</v>
      </c>
      <c r="K110" s="51">
        <v>0</v>
      </c>
      <c r="L110" s="51">
        <v>1045</v>
      </c>
      <c r="M110" s="51">
        <v>247.5</v>
      </c>
      <c r="N110" s="51">
        <v>805</v>
      </c>
      <c r="O110" s="51">
        <v>488.75</v>
      </c>
      <c r="P110" s="51">
        <v>690</v>
      </c>
      <c r="Q110" s="51">
        <v>718.75</v>
      </c>
      <c r="R110" s="51">
        <v>575</v>
      </c>
      <c r="S110" s="51">
        <f>115*8</f>
        <v>920</v>
      </c>
      <c r="T110" s="51"/>
      <c r="U110" s="51">
        <f t="shared" si="34"/>
        <v>8817.5</v>
      </c>
      <c r="V110" s="67">
        <v>9500</v>
      </c>
      <c r="W110" s="67">
        <v>9500</v>
      </c>
      <c r="AB110" s="86"/>
      <c r="AC110" s="86"/>
      <c r="AD110" s="86"/>
      <c r="AE110" s="86"/>
      <c r="AF110" s="86"/>
      <c r="AG110" s="86" t="s">
        <v>151</v>
      </c>
      <c r="AH110" s="87"/>
      <c r="AI110" s="87"/>
      <c r="AJ110" s="87"/>
      <c r="AK110" s="87"/>
      <c r="AL110" s="87">
        <v>1023.75</v>
      </c>
      <c r="AM110" s="87">
        <v>1102.5</v>
      </c>
      <c r="AN110" s="87">
        <v>1155</v>
      </c>
      <c r="AO110" s="87">
        <v>551.25</v>
      </c>
      <c r="AP110" s="87">
        <v>813.75</v>
      </c>
      <c r="AQ110" s="87">
        <v>341.25</v>
      </c>
      <c r="AR110" s="87">
        <v>446.25</v>
      </c>
      <c r="AS110" s="87">
        <v>632.5</v>
      </c>
      <c r="AT110" s="87">
        <v>797.5</v>
      </c>
      <c r="AU110" s="87">
        <v>972.9</v>
      </c>
      <c r="AV110" s="87">
        <v>813.75</v>
      </c>
      <c r="AW110" s="87">
        <v>971.25</v>
      </c>
      <c r="AX110" s="87"/>
      <c r="AY110" s="88">
        <f t="shared" si="35"/>
        <v>9621.65</v>
      </c>
      <c r="AZ110" s="88">
        <v>8500</v>
      </c>
      <c r="BA110" s="88">
        <v>9500</v>
      </c>
      <c r="BB110" s="89" t="s">
        <v>248</v>
      </c>
    </row>
    <row r="111" spans="1:54" x14ac:dyDescent="0.3">
      <c r="A111" s="50"/>
      <c r="B111" s="50"/>
      <c r="C111" s="50"/>
      <c r="D111" s="50"/>
      <c r="E111" s="50"/>
      <c r="F111" s="50"/>
      <c r="G111" s="50" t="s">
        <v>200</v>
      </c>
      <c r="H111" s="51">
        <v>0</v>
      </c>
      <c r="I111" s="51">
        <v>0</v>
      </c>
      <c r="J111" s="51">
        <v>0</v>
      </c>
      <c r="K111" s="51">
        <v>0</v>
      </c>
      <c r="L111" s="51">
        <v>0</v>
      </c>
      <c r="M111" s="51">
        <v>0</v>
      </c>
      <c r="N111" s="51">
        <v>0</v>
      </c>
      <c r="O111" s="51">
        <v>0</v>
      </c>
      <c r="P111" s="51">
        <v>0</v>
      </c>
      <c r="Q111" s="51">
        <v>0</v>
      </c>
      <c r="R111" s="51">
        <v>0</v>
      </c>
      <c r="S111" s="51">
        <v>0</v>
      </c>
      <c r="T111" s="51"/>
      <c r="U111" s="51">
        <v>0</v>
      </c>
      <c r="V111" s="67">
        <v>9000</v>
      </c>
      <c r="W111" s="67">
        <v>9000</v>
      </c>
      <c r="AB111" s="86"/>
      <c r="AC111" s="86"/>
      <c r="AD111" s="86"/>
      <c r="AE111" s="86"/>
      <c r="AF111" s="86"/>
      <c r="AG111" s="86" t="s">
        <v>200</v>
      </c>
      <c r="AH111" s="87"/>
      <c r="AI111" s="87"/>
      <c r="AJ111" s="87"/>
      <c r="AK111" s="87"/>
      <c r="AL111" s="87">
        <v>0</v>
      </c>
      <c r="AM111" s="87">
        <v>0</v>
      </c>
      <c r="AN111" s="87">
        <v>0</v>
      </c>
      <c r="AO111" s="87">
        <v>0</v>
      </c>
      <c r="AP111" s="87">
        <v>0</v>
      </c>
      <c r="AQ111" s="87">
        <v>0</v>
      </c>
      <c r="AR111" s="87">
        <v>0</v>
      </c>
      <c r="AS111" s="87">
        <v>0</v>
      </c>
      <c r="AT111" s="87">
        <v>0</v>
      </c>
      <c r="AU111" s="87">
        <v>0</v>
      </c>
      <c r="AV111" s="87">
        <v>0</v>
      </c>
      <c r="AW111" s="87">
        <v>0</v>
      </c>
      <c r="AX111" s="87"/>
      <c r="AY111" s="88">
        <f t="shared" si="35"/>
        <v>0</v>
      </c>
      <c r="AZ111" s="88">
        <v>9000</v>
      </c>
      <c r="BA111" s="88">
        <v>9000</v>
      </c>
      <c r="BB111" s="89"/>
    </row>
    <row r="112" spans="1:54" x14ac:dyDescent="0.3">
      <c r="A112" s="50"/>
      <c r="B112" s="50"/>
      <c r="C112" s="50"/>
      <c r="D112" s="50"/>
      <c r="E112" s="50"/>
      <c r="F112" s="50"/>
      <c r="G112" s="50" t="s">
        <v>233</v>
      </c>
      <c r="H112" s="51">
        <v>0</v>
      </c>
      <c r="I112" s="51">
        <v>0</v>
      </c>
      <c r="J112" s="51">
        <v>0</v>
      </c>
      <c r="K112" s="51">
        <v>0</v>
      </c>
      <c r="L112" s="51">
        <v>375</v>
      </c>
      <c r="M112" s="51">
        <v>0</v>
      </c>
      <c r="N112" s="51">
        <v>0</v>
      </c>
      <c r="O112" s="51">
        <v>0</v>
      </c>
      <c r="P112" s="51">
        <v>0</v>
      </c>
      <c r="Q112" s="51">
        <v>0</v>
      </c>
      <c r="R112" s="51">
        <v>0</v>
      </c>
      <c r="S112" s="51">
        <v>0</v>
      </c>
      <c r="T112" s="51"/>
      <c r="U112" s="51">
        <f t="shared" si="34"/>
        <v>375</v>
      </c>
      <c r="V112" s="67">
        <v>400</v>
      </c>
      <c r="W112" s="67">
        <v>400</v>
      </c>
      <c r="AB112" s="86"/>
      <c r="AC112" s="86"/>
      <c r="AD112" s="86"/>
      <c r="AE112" s="86"/>
      <c r="AF112" s="86"/>
      <c r="AG112" s="86" t="s">
        <v>233</v>
      </c>
      <c r="AH112" s="87"/>
      <c r="AI112" s="87"/>
      <c r="AJ112" s="87"/>
      <c r="AK112" s="87"/>
      <c r="AL112" s="87">
        <v>0</v>
      </c>
      <c r="AM112" s="87">
        <v>0</v>
      </c>
      <c r="AN112" s="87">
        <v>0</v>
      </c>
      <c r="AO112" s="87">
        <v>0</v>
      </c>
      <c r="AP112" s="87">
        <v>0</v>
      </c>
      <c r="AQ112" s="87">
        <v>0</v>
      </c>
      <c r="AR112" s="87">
        <v>375</v>
      </c>
      <c r="AS112" s="87">
        <v>0</v>
      </c>
      <c r="AT112" s="87">
        <v>0</v>
      </c>
      <c r="AU112" s="87">
        <v>0</v>
      </c>
      <c r="AV112" s="87">
        <v>0</v>
      </c>
      <c r="AW112" s="87">
        <v>0</v>
      </c>
      <c r="AX112" s="87"/>
      <c r="AY112" s="88">
        <f t="shared" si="35"/>
        <v>375</v>
      </c>
      <c r="AZ112" s="88">
        <v>200</v>
      </c>
      <c r="BA112" s="88">
        <v>400</v>
      </c>
      <c r="BB112" s="89" t="s">
        <v>250</v>
      </c>
    </row>
    <row r="113" spans="1:54" x14ac:dyDescent="0.3">
      <c r="A113" s="50"/>
      <c r="B113" s="50"/>
      <c r="C113" s="50"/>
      <c r="D113" s="50"/>
      <c r="E113" s="50"/>
      <c r="F113" s="50"/>
      <c r="G113" s="50" t="s">
        <v>152</v>
      </c>
      <c r="H113" s="51">
        <v>435</v>
      </c>
      <c r="I113" s="51">
        <v>0</v>
      </c>
      <c r="J113" s="51">
        <v>1275</v>
      </c>
      <c r="K113" s="51">
        <v>315</v>
      </c>
      <c r="L113" s="51">
        <v>420</v>
      </c>
      <c r="M113" s="51">
        <v>300</v>
      </c>
      <c r="N113" s="51">
        <v>360</v>
      </c>
      <c r="O113" s="51">
        <v>435</v>
      </c>
      <c r="P113" s="51">
        <v>0</v>
      </c>
      <c r="Q113" s="51">
        <v>525</v>
      </c>
      <c r="R113" s="51">
        <v>0</v>
      </c>
      <c r="S113" s="51">
        <v>1350</v>
      </c>
      <c r="T113" s="51"/>
      <c r="U113" s="51">
        <f t="shared" si="34"/>
        <v>5415</v>
      </c>
      <c r="V113" s="67">
        <v>30000</v>
      </c>
      <c r="W113" s="67">
        <v>30000</v>
      </c>
      <c r="AB113" s="86"/>
      <c r="AC113" s="86"/>
      <c r="AD113" s="86"/>
      <c r="AE113" s="86"/>
      <c r="AF113" s="86"/>
      <c r="AG113" s="86" t="s">
        <v>152</v>
      </c>
      <c r="AH113" s="87"/>
      <c r="AI113" s="87"/>
      <c r="AJ113" s="87"/>
      <c r="AK113" s="87"/>
      <c r="AL113" s="87">
        <v>540</v>
      </c>
      <c r="AM113" s="87">
        <v>60</v>
      </c>
      <c r="AN113" s="87">
        <v>0</v>
      </c>
      <c r="AO113" s="87">
        <v>0</v>
      </c>
      <c r="AP113" s="87">
        <v>650</v>
      </c>
      <c r="AQ113" s="87">
        <v>1360</v>
      </c>
      <c r="AR113" s="87">
        <v>170</v>
      </c>
      <c r="AS113" s="87">
        <v>60</v>
      </c>
      <c r="AT113" s="87">
        <v>1700</v>
      </c>
      <c r="AU113" s="87">
        <v>0</v>
      </c>
      <c r="AV113" s="87">
        <v>1245</v>
      </c>
      <c r="AW113" s="87">
        <v>1215</v>
      </c>
      <c r="AX113" s="87"/>
      <c r="AY113" s="88">
        <f t="shared" si="35"/>
        <v>7000</v>
      </c>
      <c r="AZ113" s="88">
        <v>30000</v>
      </c>
      <c r="BA113" s="88">
        <v>30000</v>
      </c>
      <c r="BB113" s="89" t="s">
        <v>251</v>
      </c>
    </row>
    <row r="114" spans="1:54" x14ac:dyDescent="0.3">
      <c r="A114" s="50"/>
      <c r="B114" s="50"/>
      <c r="C114" s="50"/>
      <c r="D114" s="50"/>
      <c r="E114" s="50"/>
      <c r="F114" s="50"/>
      <c r="G114" s="50" t="s">
        <v>153</v>
      </c>
      <c r="H114" s="51">
        <v>445.33</v>
      </c>
      <c r="I114" s="51">
        <v>445.33</v>
      </c>
      <c r="J114" s="51">
        <v>445.33</v>
      </c>
      <c r="K114" s="51">
        <v>365.4</v>
      </c>
      <c r="L114" s="51">
        <v>365.4</v>
      </c>
      <c r="M114" s="51">
        <v>365.4</v>
      </c>
      <c r="N114" s="51">
        <v>365.4</v>
      </c>
      <c r="O114" s="51">
        <v>445.33</v>
      </c>
      <c r="P114" s="51">
        <v>445.33</v>
      </c>
      <c r="Q114" s="51">
        <v>445.33</v>
      </c>
      <c r="R114" s="51">
        <v>445.33</v>
      </c>
      <c r="S114" s="51">
        <v>445.33</v>
      </c>
      <c r="T114" s="51"/>
      <c r="U114" s="51">
        <f t="shared" si="34"/>
        <v>5024.24</v>
      </c>
      <c r="V114" s="67">
        <v>5400</v>
      </c>
      <c r="W114" s="115">
        <v>5400</v>
      </c>
      <c r="AB114" s="86"/>
      <c r="AC114" s="86"/>
      <c r="AD114" s="86"/>
      <c r="AE114" s="86"/>
      <c r="AF114" s="86"/>
      <c r="AG114" s="86" t="s">
        <v>153</v>
      </c>
      <c r="AH114" s="87"/>
      <c r="AI114" s="87"/>
      <c r="AJ114" s="87"/>
      <c r="AK114" s="87"/>
      <c r="AL114" s="87">
        <v>445.33</v>
      </c>
      <c r="AM114" s="87">
        <v>445.33</v>
      </c>
      <c r="AN114" s="87">
        <v>445.33</v>
      </c>
      <c r="AO114" s="87">
        <v>365.4</v>
      </c>
      <c r="AP114" s="87">
        <v>365.4</v>
      </c>
      <c r="AQ114" s="87">
        <v>365.4</v>
      </c>
      <c r="AR114" s="87">
        <v>445.33</v>
      </c>
      <c r="AS114" s="87">
        <v>445.33</v>
      </c>
      <c r="AT114" s="87">
        <v>445.33</v>
      </c>
      <c r="AU114" s="87">
        <v>445.33</v>
      </c>
      <c r="AV114" s="87">
        <v>445.33</v>
      </c>
      <c r="AW114" s="87">
        <v>445.33</v>
      </c>
      <c r="AX114" s="87"/>
      <c r="AY114" s="88">
        <f t="shared" si="35"/>
        <v>5104.17</v>
      </c>
      <c r="AZ114" s="88">
        <v>5400</v>
      </c>
      <c r="BA114" s="88">
        <v>5400</v>
      </c>
      <c r="BB114" s="89"/>
    </row>
    <row r="115" spans="1:54" x14ac:dyDescent="0.3">
      <c r="A115" s="50"/>
      <c r="B115" s="50"/>
      <c r="C115" s="50"/>
      <c r="D115" s="50"/>
      <c r="E115" s="50"/>
      <c r="F115" s="50"/>
      <c r="G115" s="50" t="s">
        <v>154</v>
      </c>
      <c r="H115" s="51">
        <v>0</v>
      </c>
      <c r="I115" s="51">
        <v>0</v>
      </c>
      <c r="J115" s="51">
        <v>0</v>
      </c>
      <c r="K115" s="51">
        <v>0</v>
      </c>
      <c r="L115" s="51">
        <v>0</v>
      </c>
      <c r="M115" s="51">
        <v>266</v>
      </c>
      <c r="N115" s="51">
        <v>0</v>
      </c>
      <c r="O115" s="51">
        <v>0</v>
      </c>
      <c r="P115" s="51">
        <v>28</v>
      </c>
      <c r="Q115" s="51">
        <v>0</v>
      </c>
      <c r="R115" s="51">
        <v>0</v>
      </c>
      <c r="S115" s="51">
        <v>0</v>
      </c>
      <c r="T115" s="51"/>
      <c r="U115" s="51">
        <f t="shared" si="34"/>
        <v>294</v>
      </c>
      <c r="V115" s="67">
        <v>1800</v>
      </c>
      <c r="W115" s="67">
        <v>1800</v>
      </c>
      <c r="AB115" s="86"/>
      <c r="AC115" s="86"/>
      <c r="AD115" s="86"/>
      <c r="AE115" s="86"/>
      <c r="AF115" s="86"/>
      <c r="AG115" s="86" t="s">
        <v>154</v>
      </c>
      <c r="AH115" s="87"/>
      <c r="AI115" s="87"/>
      <c r="AJ115" s="87"/>
      <c r="AK115" s="87"/>
      <c r="AL115" s="87">
        <v>0</v>
      </c>
      <c r="AM115" s="87">
        <v>0</v>
      </c>
      <c r="AN115" s="87">
        <v>384</v>
      </c>
      <c r="AO115" s="87">
        <v>0</v>
      </c>
      <c r="AP115" s="87">
        <v>469.18</v>
      </c>
      <c r="AQ115" s="87">
        <v>103.23</v>
      </c>
      <c r="AR115" s="87">
        <v>0</v>
      </c>
      <c r="AS115" s="87">
        <v>0</v>
      </c>
      <c r="AT115" s="87">
        <v>0</v>
      </c>
      <c r="AU115" s="87">
        <v>0</v>
      </c>
      <c r="AV115" s="87">
        <v>0</v>
      </c>
      <c r="AW115" s="87">
        <v>0</v>
      </c>
      <c r="AX115" s="87"/>
      <c r="AY115" s="88">
        <f t="shared" si="35"/>
        <v>956.41</v>
      </c>
      <c r="AZ115" s="88">
        <v>1800</v>
      </c>
      <c r="BA115" s="88">
        <v>1800</v>
      </c>
      <c r="BB115" s="89"/>
    </row>
    <row r="116" spans="1:54" x14ac:dyDescent="0.3">
      <c r="A116" s="50"/>
      <c r="B116" s="50"/>
      <c r="C116" s="50"/>
      <c r="D116" s="50"/>
      <c r="E116" s="50"/>
      <c r="F116" s="50"/>
      <c r="G116" s="50" t="s">
        <v>238</v>
      </c>
      <c r="H116" s="51">
        <v>0</v>
      </c>
      <c r="I116" s="51">
        <v>0</v>
      </c>
      <c r="J116" s="51">
        <v>0</v>
      </c>
      <c r="K116" s="51">
        <v>0</v>
      </c>
      <c r="L116" s="51">
        <v>0</v>
      </c>
      <c r="M116" s="51">
        <v>0</v>
      </c>
      <c r="N116" s="51">
        <v>0</v>
      </c>
      <c r="O116" s="51">
        <v>0</v>
      </c>
      <c r="P116" s="51">
        <v>0</v>
      </c>
      <c r="Q116" s="51">
        <v>0</v>
      </c>
      <c r="R116" s="51">
        <v>0</v>
      </c>
      <c r="S116" s="51">
        <v>0</v>
      </c>
      <c r="T116" s="51"/>
      <c r="U116" s="51">
        <v>0</v>
      </c>
      <c r="V116" s="67">
        <v>300</v>
      </c>
      <c r="W116" s="67">
        <v>300</v>
      </c>
      <c r="AB116" s="86"/>
      <c r="AC116" s="86"/>
      <c r="AD116" s="86"/>
      <c r="AE116" s="86"/>
      <c r="AF116" s="86"/>
      <c r="AG116" s="86" t="s">
        <v>238</v>
      </c>
      <c r="AH116" s="87"/>
      <c r="AI116" s="87"/>
      <c r="AJ116" s="87"/>
      <c r="AK116" s="87"/>
      <c r="AL116" s="87">
        <v>0</v>
      </c>
      <c r="AM116" s="87">
        <v>0</v>
      </c>
      <c r="AN116" s="87">
        <v>0</v>
      </c>
      <c r="AO116" s="87">
        <v>0</v>
      </c>
      <c r="AP116" s="87">
        <v>0</v>
      </c>
      <c r="AQ116" s="87">
        <v>0</v>
      </c>
      <c r="AR116" s="87">
        <v>0</v>
      </c>
      <c r="AS116" s="87">
        <v>0</v>
      </c>
      <c r="AT116" s="87">
        <v>0</v>
      </c>
      <c r="AU116" s="87">
        <v>0</v>
      </c>
      <c r="AV116" s="87">
        <v>0</v>
      </c>
      <c r="AW116" s="87">
        <v>0</v>
      </c>
      <c r="AX116" s="87"/>
      <c r="AY116" s="88">
        <f t="shared" si="35"/>
        <v>0</v>
      </c>
      <c r="AZ116" s="88">
        <v>250</v>
      </c>
      <c r="BA116" s="88">
        <v>300</v>
      </c>
      <c r="BB116" s="89"/>
    </row>
    <row r="117" spans="1:54" x14ac:dyDescent="0.3">
      <c r="A117" s="50"/>
      <c r="B117" s="50"/>
      <c r="C117" s="50"/>
      <c r="D117" s="50"/>
      <c r="E117" s="50"/>
      <c r="F117" s="50"/>
      <c r="G117" s="50" t="s">
        <v>155</v>
      </c>
      <c r="H117" s="51">
        <v>0</v>
      </c>
      <c r="I117" s="51">
        <v>365</v>
      </c>
      <c r="J117" s="51">
        <v>0</v>
      </c>
      <c r="K117" s="51">
        <v>0</v>
      </c>
      <c r="L117" s="51">
        <v>0</v>
      </c>
      <c r="M117" s="51">
        <v>0</v>
      </c>
      <c r="N117" s="51">
        <v>219</v>
      </c>
      <c r="O117" s="51">
        <v>0</v>
      </c>
      <c r="P117" s="51">
        <v>0</v>
      </c>
      <c r="Q117" s="51">
        <v>0</v>
      </c>
      <c r="R117" s="51">
        <v>0</v>
      </c>
      <c r="S117" s="51">
        <v>0</v>
      </c>
      <c r="T117" s="51"/>
      <c r="U117" s="51">
        <f t="shared" si="34"/>
        <v>584</v>
      </c>
      <c r="V117" s="67">
        <v>2500</v>
      </c>
      <c r="W117" s="67">
        <v>2500</v>
      </c>
      <c r="AB117" s="86"/>
      <c r="AC117" s="86"/>
      <c r="AD117" s="86"/>
      <c r="AE117" s="86"/>
      <c r="AF117" s="86"/>
      <c r="AG117" s="86" t="s">
        <v>155</v>
      </c>
      <c r="AH117" s="87"/>
      <c r="AI117" s="87"/>
      <c r="AJ117" s="87"/>
      <c r="AK117" s="87"/>
      <c r="AL117" s="87">
        <v>0</v>
      </c>
      <c r="AM117" s="87">
        <v>0</v>
      </c>
      <c r="AN117" s="87">
        <v>0</v>
      </c>
      <c r="AO117" s="87">
        <v>0</v>
      </c>
      <c r="AP117" s="87">
        <v>0</v>
      </c>
      <c r="AQ117" s="87">
        <v>0</v>
      </c>
      <c r="AR117" s="87">
        <v>0</v>
      </c>
      <c r="AS117" s="87">
        <v>0</v>
      </c>
      <c r="AT117" s="87">
        <v>0</v>
      </c>
      <c r="AU117" s="87">
        <v>0</v>
      </c>
      <c r="AV117" s="87">
        <v>63</v>
      </c>
      <c r="AW117" s="87">
        <v>0</v>
      </c>
      <c r="AX117" s="87"/>
      <c r="AY117" s="88">
        <f t="shared" si="35"/>
        <v>63</v>
      </c>
      <c r="AZ117" s="88">
        <v>2500</v>
      </c>
      <c r="BA117" s="88">
        <v>2500</v>
      </c>
      <c r="BB117" s="89"/>
    </row>
    <row r="118" spans="1:54" x14ac:dyDescent="0.3">
      <c r="A118" s="50"/>
      <c r="B118" s="50"/>
      <c r="C118" s="50"/>
      <c r="D118" s="50"/>
      <c r="E118" s="50"/>
      <c r="F118" s="50"/>
      <c r="G118" s="50" t="s">
        <v>156</v>
      </c>
      <c r="H118" s="51">
        <v>13.59</v>
      </c>
      <c r="I118" s="51">
        <v>1982.42</v>
      </c>
      <c r="J118" s="51">
        <v>1019.56</v>
      </c>
      <c r="K118" s="51">
        <v>0</v>
      </c>
      <c r="L118" s="51">
        <v>0</v>
      </c>
      <c r="M118" s="51">
        <v>0</v>
      </c>
      <c r="N118" s="51">
        <v>700</v>
      </c>
      <c r="O118" s="51">
        <v>0</v>
      </c>
      <c r="P118" s="51">
        <v>0</v>
      </c>
      <c r="Q118" s="51">
        <v>0</v>
      </c>
      <c r="R118" s="51">
        <v>0</v>
      </c>
      <c r="S118" s="51">
        <v>15</v>
      </c>
      <c r="T118" s="51"/>
      <c r="U118" s="51">
        <f t="shared" si="34"/>
        <v>3730.57</v>
      </c>
      <c r="V118" s="67">
        <v>30000</v>
      </c>
      <c r="W118" s="67">
        <v>30000</v>
      </c>
      <c r="AB118" s="86"/>
      <c r="AC118" s="86"/>
      <c r="AD118" s="86"/>
      <c r="AE118" s="86"/>
      <c r="AF118" s="86"/>
      <c r="AG118" s="86" t="s">
        <v>156</v>
      </c>
      <c r="AH118" s="87"/>
      <c r="AI118" s="87"/>
      <c r="AJ118" s="87"/>
      <c r="AK118" s="87"/>
      <c r="AL118" s="87">
        <v>0</v>
      </c>
      <c r="AM118" s="87">
        <v>378</v>
      </c>
      <c r="AN118" s="87">
        <v>425</v>
      </c>
      <c r="AO118" s="87">
        <v>0</v>
      </c>
      <c r="AP118" s="87">
        <v>100</v>
      </c>
      <c r="AQ118" s="87">
        <v>0</v>
      </c>
      <c r="AR118" s="87">
        <v>99</v>
      </c>
      <c r="AS118" s="87">
        <v>-100</v>
      </c>
      <c r="AT118" s="87">
        <v>0</v>
      </c>
      <c r="AU118" s="87">
        <v>0</v>
      </c>
      <c r="AV118" s="87">
        <v>0</v>
      </c>
      <c r="AW118" s="87">
        <v>0</v>
      </c>
      <c r="AX118" s="87"/>
      <c r="AY118" s="88">
        <f t="shared" si="35"/>
        <v>902</v>
      </c>
      <c r="AZ118" s="88">
        <v>30000</v>
      </c>
      <c r="BA118" s="88">
        <v>30000</v>
      </c>
      <c r="BB118" s="89" t="s">
        <v>251</v>
      </c>
    </row>
    <row r="119" spans="1:54" x14ac:dyDescent="0.3">
      <c r="A119" s="50"/>
      <c r="B119" s="50"/>
      <c r="C119" s="50"/>
      <c r="D119" s="50"/>
      <c r="E119" s="50"/>
      <c r="F119" s="50"/>
      <c r="G119" s="50" t="s">
        <v>157</v>
      </c>
      <c r="H119" s="51">
        <v>321.43</v>
      </c>
      <c r="I119" s="51">
        <v>48.7</v>
      </c>
      <c r="J119" s="51">
        <v>56.42</v>
      </c>
      <c r="K119" s="51">
        <v>42.97</v>
      </c>
      <c r="L119" s="51">
        <v>0</v>
      </c>
      <c r="M119" s="51">
        <v>141.88</v>
      </c>
      <c r="N119" s="51">
        <v>101.79</v>
      </c>
      <c r="O119" s="51">
        <v>0</v>
      </c>
      <c r="P119" s="51">
        <v>317.31</v>
      </c>
      <c r="Q119" s="51">
        <v>153.86000000000001</v>
      </c>
      <c r="R119" s="51">
        <v>0</v>
      </c>
      <c r="S119" s="51">
        <v>150</v>
      </c>
      <c r="T119" s="51"/>
      <c r="U119" s="51">
        <f t="shared" si="34"/>
        <v>1334.36</v>
      </c>
      <c r="V119" s="67">
        <v>2000</v>
      </c>
      <c r="W119" s="67">
        <v>2000</v>
      </c>
      <c r="AB119" s="86"/>
      <c r="AC119" s="86"/>
      <c r="AD119" s="86"/>
      <c r="AE119" s="86"/>
      <c r="AF119" s="86"/>
      <c r="AG119" s="86" t="s">
        <v>157</v>
      </c>
      <c r="AH119" s="87"/>
      <c r="AI119" s="87"/>
      <c r="AJ119" s="87"/>
      <c r="AK119" s="87"/>
      <c r="AL119" s="87">
        <v>0</v>
      </c>
      <c r="AM119" s="87">
        <v>75.34</v>
      </c>
      <c r="AN119" s="87">
        <v>66.03</v>
      </c>
      <c r="AO119" s="87">
        <v>100.89</v>
      </c>
      <c r="AP119" s="87">
        <v>0</v>
      </c>
      <c r="AQ119" s="87">
        <v>0</v>
      </c>
      <c r="AR119" s="87">
        <v>43.21</v>
      </c>
      <c r="AS119" s="87">
        <v>147.96</v>
      </c>
      <c r="AT119" s="87">
        <v>64.540000000000006</v>
      </c>
      <c r="AU119" s="87">
        <v>0</v>
      </c>
      <c r="AV119" s="87">
        <v>0</v>
      </c>
      <c r="AW119" s="87">
        <v>45.66</v>
      </c>
      <c r="AX119" s="87"/>
      <c r="AY119" s="88">
        <f t="shared" si="35"/>
        <v>543.63</v>
      </c>
      <c r="AZ119" s="88">
        <v>2000</v>
      </c>
      <c r="BA119" s="88">
        <v>2000</v>
      </c>
      <c r="BB119" s="89"/>
    </row>
    <row r="120" spans="1:54" x14ac:dyDescent="0.3">
      <c r="A120" s="50"/>
      <c r="B120" s="50"/>
      <c r="C120" s="50"/>
      <c r="D120" s="50"/>
      <c r="E120" s="50"/>
      <c r="F120" s="50"/>
      <c r="G120" s="50" t="s">
        <v>158</v>
      </c>
      <c r="H120" s="51">
        <v>0</v>
      </c>
      <c r="I120" s="51">
        <v>0</v>
      </c>
      <c r="J120" s="51">
        <v>0</v>
      </c>
      <c r="K120" s="51">
        <v>800</v>
      </c>
      <c r="L120" s="51">
        <v>0</v>
      </c>
      <c r="M120" s="51">
        <v>2292.25</v>
      </c>
      <c r="N120" s="51">
        <v>0</v>
      </c>
      <c r="O120" s="51">
        <v>0</v>
      </c>
      <c r="P120" s="51">
        <v>0</v>
      </c>
      <c r="Q120" s="51">
        <v>0</v>
      </c>
      <c r="R120" s="51">
        <v>0</v>
      </c>
      <c r="S120" s="51">
        <v>0</v>
      </c>
      <c r="T120" s="51"/>
      <c r="U120" s="51">
        <f t="shared" si="34"/>
        <v>3092.25</v>
      </c>
      <c r="V120" s="67">
        <v>5000</v>
      </c>
      <c r="W120" s="67">
        <v>5000</v>
      </c>
      <c r="AB120" s="86"/>
      <c r="AC120" s="86"/>
      <c r="AD120" s="86"/>
      <c r="AE120" s="86"/>
      <c r="AF120" s="86"/>
      <c r="AG120" s="86" t="s">
        <v>158</v>
      </c>
      <c r="AH120" s="87"/>
      <c r="AI120" s="87"/>
      <c r="AJ120" s="87"/>
      <c r="AK120" s="87"/>
      <c r="AL120" s="87">
        <v>0</v>
      </c>
      <c r="AM120" s="87">
        <v>0</v>
      </c>
      <c r="AN120" s="87">
        <v>0</v>
      </c>
      <c r="AO120" s="87">
        <v>0</v>
      </c>
      <c r="AP120" s="87">
        <v>0</v>
      </c>
      <c r="AQ120" s="87">
        <v>275.2</v>
      </c>
      <c r="AR120" s="87">
        <v>0</v>
      </c>
      <c r="AS120" s="87">
        <v>0</v>
      </c>
      <c r="AT120" s="87">
        <v>0</v>
      </c>
      <c r="AU120" s="87">
        <v>0</v>
      </c>
      <c r="AV120" s="87">
        <v>0</v>
      </c>
      <c r="AW120" s="87">
        <v>0</v>
      </c>
      <c r="AX120" s="87"/>
      <c r="AY120" s="88">
        <f t="shared" si="35"/>
        <v>275.2</v>
      </c>
      <c r="AZ120" s="88">
        <v>5000</v>
      </c>
      <c r="BA120" s="88">
        <v>5000</v>
      </c>
      <c r="BB120" s="89"/>
    </row>
    <row r="121" spans="1:54" x14ac:dyDescent="0.3">
      <c r="A121" s="50"/>
      <c r="B121" s="50"/>
      <c r="C121" s="50"/>
      <c r="D121" s="50"/>
      <c r="E121" s="50"/>
      <c r="F121" s="50"/>
      <c r="G121" s="50" t="s">
        <v>159</v>
      </c>
      <c r="H121" s="51">
        <v>0</v>
      </c>
      <c r="I121" s="51">
        <v>0.45</v>
      </c>
      <c r="J121" s="51">
        <v>0</v>
      </c>
      <c r="K121" s="51">
        <v>0</v>
      </c>
      <c r="L121" s="51">
        <v>0</v>
      </c>
      <c r="M121" s="51">
        <v>0</v>
      </c>
      <c r="N121" s="51">
        <v>0</v>
      </c>
      <c r="O121" s="51">
        <v>0</v>
      </c>
      <c r="P121" s="51">
        <v>0</v>
      </c>
      <c r="Q121" s="51">
        <v>0</v>
      </c>
      <c r="R121" s="51">
        <v>0</v>
      </c>
      <c r="S121" s="51">
        <v>0</v>
      </c>
      <c r="T121" s="51"/>
      <c r="U121" s="51">
        <f t="shared" si="34"/>
        <v>0.45</v>
      </c>
      <c r="V121" s="67">
        <v>2500</v>
      </c>
      <c r="W121" s="67">
        <v>2500</v>
      </c>
      <c r="X121" s="68" t="s">
        <v>313</v>
      </c>
      <c r="AB121" s="86"/>
      <c r="AC121" s="86"/>
      <c r="AD121" s="86"/>
      <c r="AE121" s="86"/>
      <c r="AF121" s="86"/>
      <c r="AG121" s="86" t="s">
        <v>159</v>
      </c>
      <c r="AH121" s="87"/>
      <c r="AI121" s="87"/>
      <c r="AJ121" s="87"/>
      <c r="AK121" s="87"/>
      <c r="AL121" s="87">
        <v>66.88</v>
      </c>
      <c r="AM121" s="87">
        <v>157.94</v>
      </c>
      <c r="AN121" s="87">
        <v>166.05</v>
      </c>
      <c r="AO121" s="87">
        <v>0</v>
      </c>
      <c r="AP121" s="87">
        <v>0</v>
      </c>
      <c r="AQ121" s="87">
        <v>0</v>
      </c>
      <c r="AR121" s="87">
        <v>0</v>
      </c>
      <c r="AS121" s="87">
        <v>0</v>
      </c>
      <c r="AT121" s="87">
        <v>248.76</v>
      </c>
      <c r="AU121" s="87">
        <v>0</v>
      </c>
      <c r="AV121" s="87">
        <v>127.06</v>
      </c>
      <c r="AW121" s="87">
        <v>76.099999999999994</v>
      </c>
      <c r="AX121" s="87"/>
      <c r="AY121" s="88">
        <f t="shared" si="35"/>
        <v>842.79</v>
      </c>
      <c r="AZ121" s="88">
        <v>2500</v>
      </c>
      <c r="BA121" s="88">
        <v>2500</v>
      </c>
      <c r="BB121" s="89"/>
    </row>
    <row r="122" spans="1:54" x14ac:dyDescent="0.3">
      <c r="A122" s="50"/>
      <c r="B122" s="50"/>
      <c r="C122" s="50"/>
      <c r="D122" s="50"/>
      <c r="E122" s="50"/>
      <c r="F122" s="50"/>
      <c r="G122" s="50" t="s">
        <v>160</v>
      </c>
      <c r="H122" s="51">
        <v>50</v>
      </c>
      <c r="I122" s="51">
        <v>100</v>
      </c>
      <c r="J122" s="51">
        <v>50</v>
      </c>
      <c r="K122" s="51">
        <v>50</v>
      </c>
      <c r="L122" s="51">
        <v>50</v>
      </c>
      <c r="M122" s="51">
        <v>50</v>
      </c>
      <c r="N122" s="51">
        <v>0</v>
      </c>
      <c r="O122" s="51">
        <v>50</v>
      </c>
      <c r="P122" s="51">
        <v>50</v>
      </c>
      <c r="Q122" s="51">
        <v>50</v>
      </c>
      <c r="R122" s="51">
        <v>50</v>
      </c>
      <c r="S122" s="51">
        <v>50</v>
      </c>
      <c r="T122" s="51"/>
      <c r="U122" s="51">
        <f t="shared" si="34"/>
        <v>600</v>
      </c>
      <c r="V122" s="67">
        <v>800</v>
      </c>
      <c r="W122" s="67">
        <v>800</v>
      </c>
      <c r="AB122" s="86"/>
      <c r="AC122" s="86"/>
      <c r="AD122" s="86"/>
      <c r="AE122" s="86"/>
      <c r="AF122" s="86"/>
      <c r="AG122" s="86" t="s">
        <v>160</v>
      </c>
      <c r="AH122" s="87"/>
      <c r="AI122" s="87"/>
      <c r="AJ122" s="87"/>
      <c r="AK122" s="87"/>
      <c r="AL122" s="87">
        <v>50</v>
      </c>
      <c r="AM122" s="87">
        <v>50</v>
      </c>
      <c r="AN122" s="87">
        <v>0</v>
      </c>
      <c r="AO122" s="87">
        <v>0</v>
      </c>
      <c r="AP122" s="87">
        <v>150</v>
      </c>
      <c r="AQ122" s="87">
        <v>100</v>
      </c>
      <c r="AR122" s="87">
        <v>50</v>
      </c>
      <c r="AS122" s="87">
        <v>0</v>
      </c>
      <c r="AT122" s="87">
        <v>0</v>
      </c>
      <c r="AU122" s="87">
        <v>50</v>
      </c>
      <c r="AV122" s="87">
        <v>50</v>
      </c>
      <c r="AW122" s="87">
        <v>50</v>
      </c>
      <c r="AX122" s="87"/>
      <c r="AY122" s="88">
        <f t="shared" si="35"/>
        <v>550</v>
      </c>
      <c r="AZ122" s="88">
        <v>800</v>
      </c>
      <c r="BA122" s="88">
        <v>800</v>
      </c>
      <c r="BB122" s="89"/>
    </row>
    <row r="123" spans="1:54" ht="15" thickBot="1" x14ac:dyDescent="0.35">
      <c r="A123" s="50"/>
      <c r="B123" s="50"/>
      <c r="C123" s="50"/>
      <c r="D123" s="50"/>
      <c r="E123" s="50"/>
      <c r="F123" s="50"/>
      <c r="G123" s="50" t="s">
        <v>161</v>
      </c>
      <c r="H123" s="52">
        <v>0</v>
      </c>
      <c r="I123" s="52">
        <v>183.75</v>
      </c>
      <c r="J123" s="52">
        <v>35.770000000000003</v>
      </c>
      <c r="K123" s="52">
        <v>103.47</v>
      </c>
      <c r="L123" s="52">
        <v>67.41</v>
      </c>
      <c r="M123" s="52">
        <v>128.22</v>
      </c>
      <c r="N123" s="52">
        <v>24.99</v>
      </c>
      <c r="O123" s="52">
        <v>83.79</v>
      </c>
      <c r="P123" s="52">
        <v>108.78</v>
      </c>
      <c r="Q123" s="52">
        <v>122.76</v>
      </c>
      <c r="R123" s="52">
        <v>0</v>
      </c>
      <c r="S123" s="52">
        <v>250</v>
      </c>
      <c r="T123" s="52"/>
      <c r="U123" s="52">
        <f t="shared" si="34"/>
        <v>1108.94</v>
      </c>
      <c r="V123" s="69">
        <v>1600</v>
      </c>
      <c r="W123" s="69">
        <v>1600</v>
      </c>
      <c r="AB123" s="86"/>
      <c r="AC123" s="86"/>
      <c r="AD123" s="86"/>
      <c r="AE123" s="86"/>
      <c r="AF123" s="86"/>
      <c r="AG123" s="86" t="s">
        <v>161</v>
      </c>
      <c r="AH123" s="90"/>
      <c r="AI123" s="90"/>
      <c r="AJ123" s="90"/>
      <c r="AK123" s="90"/>
      <c r="AL123" s="90">
        <v>135.31</v>
      </c>
      <c r="AM123" s="90">
        <v>0</v>
      </c>
      <c r="AN123" s="90">
        <v>93.71</v>
      </c>
      <c r="AO123" s="90">
        <v>72.73</v>
      </c>
      <c r="AP123" s="90">
        <v>304.77999999999997</v>
      </c>
      <c r="AQ123" s="90">
        <v>41.26</v>
      </c>
      <c r="AR123" s="90">
        <v>24.99</v>
      </c>
      <c r="AS123" s="90">
        <v>87.21</v>
      </c>
      <c r="AT123" s="90">
        <v>51.92</v>
      </c>
      <c r="AU123" s="90">
        <v>91.27</v>
      </c>
      <c r="AV123" s="90">
        <v>51.85</v>
      </c>
      <c r="AW123" s="90">
        <v>209.36</v>
      </c>
      <c r="AX123" s="90"/>
      <c r="AY123" s="91">
        <f t="shared" si="35"/>
        <v>1164.3900000000001</v>
      </c>
      <c r="AZ123" s="91">
        <v>1600</v>
      </c>
      <c r="BA123" s="91">
        <v>1600</v>
      </c>
      <c r="BB123" s="92"/>
    </row>
    <row r="124" spans="1:54" x14ac:dyDescent="0.3">
      <c r="A124" s="50"/>
      <c r="B124" s="50"/>
      <c r="C124" s="50"/>
      <c r="D124" s="50"/>
      <c r="E124" s="50"/>
      <c r="F124" s="50" t="s">
        <v>162</v>
      </c>
      <c r="G124" s="50"/>
      <c r="H124" s="51">
        <f t="shared" ref="H124:S124" si="36">ROUND(SUM(H92:H123),5)</f>
        <v>4493.18</v>
      </c>
      <c r="I124" s="51">
        <f t="shared" si="36"/>
        <v>7609.06</v>
      </c>
      <c r="J124" s="51">
        <f t="shared" si="36"/>
        <v>8331.69</v>
      </c>
      <c r="K124" s="51">
        <f t="shared" si="36"/>
        <v>17856.61</v>
      </c>
      <c r="L124" s="51">
        <f t="shared" si="36"/>
        <v>7525.12</v>
      </c>
      <c r="M124" s="51">
        <f t="shared" si="36"/>
        <v>7691.51</v>
      </c>
      <c r="N124" s="51">
        <f t="shared" si="36"/>
        <v>7263.43</v>
      </c>
      <c r="O124" s="51">
        <f t="shared" si="36"/>
        <v>4806.33</v>
      </c>
      <c r="P124" s="51">
        <f t="shared" si="36"/>
        <v>5613.65</v>
      </c>
      <c r="Q124" s="51">
        <f t="shared" si="36"/>
        <v>6859.47</v>
      </c>
      <c r="R124" s="51">
        <f t="shared" si="36"/>
        <v>3953.63</v>
      </c>
      <c r="S124" s="51">
        <f t="shared" si="36"/>
        <v>8530.7999999999993</v>
      </c>
      <c r="T124" s="51"/>
      <c r="U124" s="51">
        <f t="shared" si="34"/>
        <v>90534.48</v>
      </c>
      <c r="V124" s="51">
        <f>ROUND(SUM(V92:V123),5)</f>
        <v>172150</v>
      </c>
      <c r="W124" s="51">
        <f>ROUND(SUM(W92:W123),5)</f>
        <v>177950</v>
      </c>
      <c r="AB124" s="86"/>
      <c r="AC124" s="86"/>
      <c r="AD124" s="86"/>
      <c r="AE124" s="86"/>
      <c r="AF124" s="86" t="s">
        <v>162</v>
      </c>
      <c r="AG124" s="86"/>
      <c r="AH124" s="87"/>
      <c r="AI124" s="87"/>
      <c r="AJ124" s="87"/>
      <c r="AK124" s="87"/>
      <c r="AL124" s="87">
        <f t="shared" ref="AL124:AW124" si="37">ROUND(SUM(AL92:AL123),5)</f>
        <v>4929.17</v>
      </c>
      <c r="AM124" s="87">
        <f t="shared" si="37"/>
        <v>14242.92</v>
      </c>
      <c r="AN124" s="87">
        <f t="shared" si="37"/>
        <v>8152.11</v>
      </c>
      <c r="AO124" s="87">
        <f t="shared" si="37"/>
        <v>4982.71</v>
      </c>
      <c r="AP124" s="87">
        <f t="shared" si="37"/>
        <v>6733.26</v>
      </c>
      <c r="AQ124" s="87">
        <f t="shared" si="37"/>
        <v>7174.94</v>
      </c>
      <c r="AR124" s="87">
        <f t="shared" si="37"/>
        <v>5153.53</v>
      </c>
      <c r="AS124" s="87">
        <f t="shared" si="37"/>
        <v>4437.3500000000004</v>
      </c>
      <c r="AT124" s="87">
        <f t="shared" si="37"/>
        <v>6705.44</v>
      </c>
      <c r="AU124" s="87">
        <f t="shared" si="37"/>
        <v>6301.27</v>
      </c>
      <c r="AV124" s="87">
        <f t="shared" si="37"/>
        <v>6681.79</v>
      </c>
      <c r="AW124" s="87">
        <f t="shared" si="37"/>
        <v>8959.83</v>
      </c>
      <c r="AX124" s="87"/>
      <c r="AY124" s="88">
        <f t="shared" si="35"/>
        <v>84454.32</v>
      </c>
      <c r="AZ124" s="88">
        <f>ROUND(SUM(AZ92:AZ123),5)</f>
        <v>171350</v>
      </c>
      <c r="BA124" s="88">
        <f>ROUND(SUM(BA92:BA123),5)</f>
        <v>172150</v>
      </c>
      <c r="BB124" s="89"/>
    </row>
    <row r="125" spans="1:54" x14ac:dyDescent="0.3">
      <c r="A125" s="50"/>
      <c r="B125" s="50"/>
      <c r="C125" s="50"/>
      <c r="D125" s="50"/>
      <c r="E125" s="50"/>
      <c r="F125" s="50"/>
      <c r="G125" s="50"/>
      <c r="H125" s="51"/>
      <c r="I125" s="51"/>
      <c r="J125" s="51"/>
      <c r="K125" s="51"/>
      <c r="L125" s="51"/>
      <c r="M125" s="51"/>
      <c r="N125" s="51"/>
      <c r="O125" s="51"/>
      <c r="P125" s="51"/>
      <c r="Q125" s="51"/>
      <c r="R125" s="51"/>
      <c r="S125" s="51"/>
      <c r="T125" s="51"/>
      <c r="U125" s="51"/>
      <c r="V125" s="51"/>
      <c r="W125" s="51"/>
      <c r="AB125" s="86"/>
      <c r="AC125" s="86"/>
      <c r="AD125" s="86"/>
      <c r="AE125" s="86"/>
      <c r="AF125" s="86"/>
      <c r="AG125" s="86"/>
      <c r="AH125" s="87"/>
      <c r="AI125" s="87"/>
      <c r="AJ125" s="87"/>
      <c r="AK125" s="87"/>
      <c r="AL125" s="87"/>
      <c r="AM125" s="87"/>
      <c r="AN125" s="87"/>
      <c r="AO125" s="87"/>
      <c r="AP125" s="87"/>
      <c r="AQ125" s="87"/>
      <c r="AR125" s="87"/>
      <c r="AS125" s="87"/>
      <c r="AT125" s="87"/>
      <c r="AU125" s="87"/>
      <c r="AV125" s="87"/>
      <c r="AW125" s="87"/>
      <c r="AX125" s="87"/>
      <c r="AY125" s="88"/>
      <c r="AZ125" s="88"/>
      <c r="BA125" s="88"/>
      <c r="BB125" s="89"/>
    </row>
    <row r="126" spans="1:54" x14ac:dyDescent="0.3">
      <c r="A126" s="50"/>
      <c r="B126" s="50"/>
      <c r="C126" s="50"/>
      <c r="D126" s="50"/>
      <c r="E126" s="50"/>
      <c r="F126" s="50"/>
      <c r="G126" s="50"/>
      <c r="H126" s="51"/>
      <c r="I126" s="51"/>
      <c r="J126" s="51"/>
      <c r="K126" s="51"/>
      <c r="L126" s="51"/>
      <c r="M126" s="51"/>
      <c r="N126" s="51"/>
      <c r="O126" s="51"/>
      <c r="P126" s="51"/>
      <c r="Q126" s="51"/>
      <c r="R126" s="51"/>
      <c r="S126" s="51"/>
      <c r="T126" s="51"/>
      <c r="U126" s="51"/>
      <c r="V126" s="51"/>
      <c r="W126" s="51"/>
      <c r="AB126" s="86"/>
      <c r="AC126" s="86"/>
      <c r="AD126" s="86"/>
      <c r="AE126" s="86"/>
      <c r="AF126" s="86"/>
      <c r="AG126" s="86"/>
      <c r="AH126" s="87"/>
      <c r="AI126" s="87"/>
      <c r="AJ126" s="87"/>
      <c r="AK126" s="87"/>
      <c r="AL126" s="87"/>
      <c r="AM126" s="87"/>
      <c r="AN126" s="87"/>
      <c r="AO126" s="87"/>
      <c r="AP126" s="87"/>
      <c r="AQ126" s="87"/>
      <c r="AR126" s="87"/>
      <c r="AS126" s="87"/>
      <c r="AT126" s="87"/>
      <c r="AU126" s="87"/>
      <c r="AV126" s="87"/>
      <c r="AW126" s="87"/>
      <c r="AX126" s="87"/>
      <c r="AY126" s="88"/>
      <c r="AZ126" s="88"/>
      <c r="BA126" s="88"/>
      <c r="BB126" s="89"/>
    </row>
    <row r="127" spans="1:54" x14ac:dyDescent="0.3">
      <c r="A127" s="50"/>
      <c r="B127" s="50"/>
      <c r="C127" s="50"/>
      <c r="D127" s="50"/>
      <c r="E127" s="50"/>
      <c r="F127" s="50"/>
      <c r="G127" s="50"/>
      <c r="H127" s="51"/>
      <c r="I127" s="51"/>
      <c r="J127" s="51"/>
      <c r="K127" s="51"/>
      <c r="L127" s="51"/>
      <c r="M127" s="51"/>
      <c r="N127" s="51"/>
      <c r="O127" s="51"/>
      <c r="P127" s="51"/>
      <c r="Q127" s="51"/>
      <c r="R127" s="51"/>
      <c r="S127" s="51"/>
      <c r="T127" s="51"/>
      <c r="U127" s="51"/>
      <c r="V127" s="51"/>
      <c r="W127" s="51"/>
      <c r="AB127" s="86"/>
      <c r="AC127" s="86"/>
      <c r="AD127" s="86"/>
      <c r="AE127" s="86"/>
      <c r="AF127" s="86"/>
      <c r="AG127" s="86"/>
      <c r="AH127" s="87"/>
      <c r="AI127" s="87"/>
      <c r="AJ127" s="87"/>
      <c r="AK127" s="87"/>
      <c r="AL127" s="87"/>
      <c r="AM127" s="87"/>
      <c r="AN127" s="87"/>
      <c r="AO127" s="87"/>
      <c r="AP127" s="87"/>
      <c r="AQ127" s="87"/>
      <c r="AR127" s="87"/>
      <c r="AS127" s="87"/>
      <c r="AT127" s="87"/>
      <c r="AU127" s="87"/>
      <c r="AV127" s="87"/>
      <c r="AW127" s="87"/>
      <c r="AX127" s="87"/>
      <c r="AY127" s="88"/>
      <c r="AZ127" s="88"/>
      <c r="BA127" s="88"/>
      <c r="BB127" s="89"/>
    </row>
    <row r="128" spans="1:54" x14ac:dyDescent="0.3">
      <c r="A128" s="50"/>
      <c r="B128" s="50"/>
      <c r="C128" s="50"/>
      <c r="D128" s="50"/>
      <c r="E128" s="50"/>
      <c r="F128" s="50"/>
      <c r="G128" s="50"/>
      <c r="H128" s="51"/>
      <c r="I128" s="51"/>
      <c r="J128" s="51"/>
      <c r="K128" s="51"/>
      <c r="L128" s="51"/>
      <c r="M128" s="51"/>
      <c r="N128" s="51"/>
      <c r="O128" s="51"/>
      <c r="P128" s="51"/>
      <c r="Q128" s="51"/>
      <c r="R128" s="51"/>
      <c r="S128" s="51"/>
      <c r="T128" s="51"/>
      <c r="U128" s="51"/>
      <c r="V128" s="51"/>
      <c r="W128" s="51"/>
      <c r="AB128" s="86"/>
      <c r="AC128" s="86"/>
      <c r="AD128" s="86"/>
      <c r="AE128" s="86"/>
      <c r="AF128" s="86"/>
      <c r="AG128" s="86"/>
      <c r="AH128" s="87"/>
      <c r="AI128" s="87"/>
      <c r="AJ128" s="87"/>
      <c r="AK128" s="87"/>
      <c r="AL128" s="87"/>
      <c r="AM128" s="87"/>
      <c r="AN128" s="87"/>
      <c r="AO128" s="87"/>
      <c r="AP128" s="87"/>
      <c r="AQ128" s="87"/>
      <c r="AR128" s="87"/>
      <c r="AS128" s="87"/>
      <c r="AT128" s="87"/>
      <c r="AU128" s="87"/>
      <c r="AV128" s="87"/>
      <c r="AW128" s="87"/>
      <c r="AX128" s="87"/>
      <c r="AY128" s="88"/>
      <c r="AZ128" s="88"/>
      <c r="BA128" s="88"/>
      <c r="BB128" s="89"/>
    </row>
    <row r="129" spans="1:54" x14ac:dyDescent="0.3">
      <c r="A129" s="50"/>
      <c r="B129" s="50"/>
      <c r="C129" s="50"/>
      <c r="D129" s="50"/>
      <c r="E129" s="50"/>
      <c r="F129" s="50"/>
      <c r="G129" s="50"/>
      <c r="H129" s="51"/>
      <c r="I129" s="51"/>
      <c r="J129" s="51"/>
      <c r="K129" s="51"/>
      <c r="L129" s="51"/>
      <c r="M129" s="51"/>
      <c r="N129" s="51"/>
      <c r="O129" s="51"/>
      <c r="P129" s="51"/>
      <c r="Q129" s="51"/>
      <c r="R129" s="51"/>
      <c r="S129" s="51"/>
      <c r="T129" s="51"/>
      <c r="U129" s="51"/>
      <c r="V129" s="51"/>
      <c r="W129" s="51"/>
      <c r="AB129" s="86"/>
      <c r="AC129" s="86"/>
      <c r="AD129" s="86"/>
      <c r="AE129" s="86"/>
      <c r="AF129" s="86"/>
      <c r="AG129" s="86"/>
      <c r="AH129" s="87"/>
      <c r="AI129" s="87"/>
      <c r="AJ129" s="87"/>
      <c r="AK129" s="87"/>
      <c r="AL129" s="87"/>
      <c r="AM129" s="87"/>
      <c r="AN129" s="87"/>
      <c r="AO129" s="87"/>
      <c r="AP129" s="87"/>
      <c r="AQ129" s="87"/>
      <c r="AR129" s="87"/>
      <c r="AS129" s="87"/>
      <c r="AT129" s="87"/>
      <c r="AU129" s="87"/>
      <c r="AV129" s="87"/>
      <c r="AW129" s="87"/>
      <c r="AX129" s="87"/>
      <c r="AY129" s="88"/>
      <c r="AZ129" s="88"/>
      <c r="BA129" s="88"/>
      <c r="BB129" s="89"/>
    </row>
    <row r="130" spans="1:54" x14ac:dyDescent="0.3">
      <c r="A130" s="50"/>
      <c r="B130" s="50"/>
      <c r="C130" s="50"/>
      <c r="D130" s="50"/>
      <c r="E130" s="50"/>
      <c r="F130" s="50"/>
      <c r="G130" s="50"/>
      <c r="H130" s="51"/>
      <c r="I130" s="51"/>
      <c r="J130" s="51"/>
      <c r="K130" s="51"/>
      <c r="L130" s="51"/>
      <c r="M130" s="51"/>
      <c r="N130" s="51"/>
      <c r="O130" s="51"/>
      <c r="P130" s="51"/>
      <c r="Q130" s="51"/>
      <c r="R130" s="51"/>
      <c r="S130" s="51"/>
      <c r="T130" s="51"/>
      <c r="U130" s="51"/>
      <c r="V130" s="51"/>
      <c r="W130" s="51"/>
      <c r="AB130" s="86"/>
      <c r="AC130" s="86"/>
      <c r="AD130" s="86"/>
      <c r="AE130" s="86"/>
      <c r="AF130" s="86"/>
      <c r="AG130" s="86"/>
      <c r="AH130" s="87"/>
      <c r="AI130" s="87"/>
      <c r="AJ130" s="87"/>
      <c r="AK130" s="87"/>
      <c r="AL130" s="87"/>
      <c r="AM130" s="87"/>
      <c r="AN130" s="87"/>
      <c r="AO130" s="87"/>
      <c r="AP130" s="87"/>
      <c r="AQ130" s="87"/>
      <c r="AR130" s="87"/>
      <c r="AS130" s="87"/>
      <c r="AT130" s="87"/>
      <c r="AU130" s="87"/>
      <c r="AV130" s="87"/>
      <c r="AW130" s="87"/>
      <c r="AX130" s="87"/>
      <c r="AY130" s="88"/>
      <c r="AZ130" s="88"/>
      <c r="BA130" s="88"/>
      <c r="BB130" s="89"/>
    </row>
    <row r="131" spans="1:54" x14ac:dyDescent="0.3">
      <c r="A131" s="50"/>
      <c r="B131" s="50"/>
      <c r="C131" s="50"/>
      <c r="D131" s="50"/>
      <c r="E131" s="50"/>
      <c r="F131" s="50"/>
      <c r="G131" s="50"/>
      <c r="H131" s="51"/>
      <c r="I131" s="51"/>
      <c r="J131" s="51"/>
      <c r="K131" s="51"/>
      <c r="L131" s="51"/>
      <c r="M131" s="51"/>
      <c r="N131" s="51"/>
      <c r="O131" s="51"/>
      <c r="P131" s="51"/>
      <c r="Q131" s="51"/>
      <c r="R131" s="51"/>
      <c r="S131" s="51"/>
      <c r="T131" s="51"/>
      <c r="U131" s="51"/>
      <c r="V131" s="51"/>
      <c r="W131" s="51"/>
      <c r="AB131" s="86"/>
      <c r="AC131" s="86"/>
      <c r="AD131" s="86"/>
      <c r="AE131" s="86"/>
      <c r="AF131" s="86"/>
      <c r="AG131" s="86"/>
      <c r="AH131" s="87"/>
      <c r="AI131" s="87"/>
      <c r="AJ131" s="87"/>
      <c r="AK131" s="87"/>
      <c r="AL131" s="87"/>
      <c r="AM131" s="87"/>
      <c r="AN131" s="87"/>
      <c r="AO131" s="87"/>
      <c r="AP131" s="87"/>
      <c r="AQ131" s="87"/>
      <c r="AR131" s="87"/>
      <c r="AS131" s="87"/>
      <c r="AT131" s="87"/>
      <c r="AU131" s="87"/>
      <c r="AV131" s="87"/>
      <c r="AW131" s="87"/>
      <c r="AX131" s="87"/>
      <c r="AY131" s="88"/>
      <c r="AZ131" s="88"/>
      <c r="BA131" s="88"/>
      <c r="BB131" s="89"/>
    </row>
    <row r="132" spans="1:54" x14ac:dyDescent="0.3">
      <c r="A132" s="50"/>
      <c r="B132" s="50"/>
      <c r="C132" s="50"/>
      <c r="D132" s="50"/>
      <c r="E132" s="50"/>
      <c r="F132" s="50"/>
      <c r="G132" s="50"/>
      <c r="H132" s="51"/>
      <c r="I132" s="51"/>
      <c r="J132" s="51"/>
      <c r="K132" s="51"/>
      <c r="L132" s="51"/>
      <c r="M132" s="51"/>
      <c r="N132" s="51"/>
      <c r="O132" s="51"/>
      <c r="P132" s="51"/>
      <c r="Q132" s="51"/>
      <c r="R132" s="51"/>
      <c r="S132" s="51"/>
      <c r="T132" s="51"/>
      <c r="U132" s="51"/>
      <c r="V132" s="51"/>
      <c r="W132" s="51"/>
      <c r="AB132" s="86"/>
      <c r="AC132" s="86"/>
      <c r="AD132" s="86"/>
      <c r="AE132" s="86"/>
      <c r="AF132" s="86"/>
      <c r="AG132" s="86"/>
      <c r="AH132" s="87"/>
      <c r="AI132" s="87"/>
      <c r="AJ132" s="87"/>
      <c r="AK132" s="87"/>
      <c r="AL132" s="87"/>
      <c r="AM132" s="87"/>
      <c r="AN132" s="87"/>
      <c r="AO132" s="87"/>
      <c r="AP132" s="87"/>
      <c r="AQ132" s="87"/>
      <c r="AR132" s="87"/>
      <c r="AS132" s="87"/>
      <c r="AT132" s="87"/>
      <c r="AU132" s="87"/>
      <c r="AV132" s="87"/>
      <c r="AW132" s="87"/>
      <c r="AX132" s="87"/>
      <c r="AY132" s="88"/>
      <c r="AZ132" s="88"/>
      <c r="BA132" s="88"/>
      <c r="BB132" s="89"/>
    </row>
    <row r="133" spans="1:54" x14ac:dyDescent="0.3">
      <c r="A133" s="50"/>
      <c r="B133" s="50"/>
      <c r="C133" s="50"/>
      <c r="D133" s="50"/>
      <c r="E133" s="50"/>
      <c r="F133" s="50"/>
      <c r="G133" s="50"/>
      <c r="H133" s="51"/>
      <c r="I133" s="51"/>
      <c r="J133" s="51"/>
      <c r="K133" s="51"/>
      <c r="L133" s="51"/>
      <c r="M133" s="51"/>
      <c r="N133" s="51"/>
      <c r="O133" s="51"/>
      <c r="P133" s="51"/>
      <c r="Q133" s="51"/>
      <c r="R133" s="51"/>
      <c r="S133" s="51"/>
      <c r="T133" s="51"/>
      <c r="U133" s="51"/>
      <c r="V133" s="51"/>
      <c r="W133" s="51"/>
      <c r="AB133" s="86"/>
      <c r="AC133" s="86"/>
      <c r="AD133" s="86"/>
      <c r="AE133" s="86"/>
      <c r="AF133" s="86"/>
      <c r="AG133" s="86"/>
      <c r="AH133" s="87"/>
      <c r="AI133" s="87"/>
      <c r="AJ133" s="87"/>
      <c r="AK133" s="87"/>
      <c r="AL133" s="87"/>
      <c r="AM133" s="87"/>
      <c r="AN133" s="87"/>
      <c r="AO133" s="87"/>
      <c r="AP133" s="87"/>
      <c r="AQ133" s="87"/>
      <c r="AR133" s="87"/>
      <c r="AS133" s="87"/>
      <c r="AT133" s="87"/>
      <c r="AU133" s="87"/>
      <c r="AV133" s="87"/>
      <c r="AW133" s="87"/>
      <c r="AX133" s="87"/>
      <c r="AY133" s="88"/>
      <c r="AZ133" s="88"/>
      <c r="BA133" s="88"/>
      <c r="BB133" s="89"/>
    </row>
    <row r="134" spans="1:54" x14ac:dyDescent="0.3">
      <c r="A134" s="50"/>
      <c r="B134" s="50"/>
      <c r="C134" s="50"/>
      <c r="D134" s="50"/>
      <c r="E134" s="50"/>
      <c r="F134" s="50"/>
      <c r="G134" s="50"/>
      <c r="H134" s="51"/>
      <c r="I134" s="51"/>
      <c r="J134" s="51"/>
      <c r="K134" s="51"/>
      <c r="L134" s="51"/>
      <c r="M134" s="51"/>
      <c r="N134" s="51"/>
      <c r="O134" s="51"/>
      <c r="P134" s="51"/>
      <c r="Q134" s="51"/>
      <c r="R134" s="51"/>
      <c r="S134" s="51"/>
      <c r="T134" s="51"/>
      <c r="U134" s="51"/>
      <c r="V134" s="51"/>
      <c r="W134" s="51"/>
      <c r="AB134" s="86"/>
      <c r="AC134" s="86"/>
      <c r="AD134" s="86"/>
      <c r="AE134" s="86"/>
      <c r="AF134" s="86"/>
      <c r="AG134" s="86"/>
      <c r="AH134" s="87"/>
      <c r="AI134" s="87"/>
      <c r="AJ134" s="87"/>
      <c r="AK134" s="87"/>
      <c r="AL134" s="87"/>
      <c r="AM134" s="87"/>
      <c r="AN134" s="87"/>
      <c r="AO134" s="87"/>
      <c r="AP134" s="87"/>
      <c r="AQ134" s="87"/>
      <c r="AR134" s="87"/>
      <c r="AS134" s="87"/>
      <c r="AT134" s="87"/>
      <c r="AU134" s="87"/>
      <c r="AV134" s="87"/>
      <c r="AW134" s="87"/>
      <c r="AX134" s="87"/>
      <c r="AY134" s="88"/>
      <c r="AZ134" s="88"/>
      <c r="BA134" s="88"/>
      <c r="BB134" s="89"/>
    </row>
    <row r="135" spans="1:54" x14ac:dyDescent="0.3">
      <c r="A135" s="50"/>
      <c r="B135" s="50"/>
      <c r="C135" s="50"/>
      <c r="D135" s="50"/>
      <c r="E135" s="50"/>
      <c r="F135" s="50"/>
      <c r="G135" s="50"/>
      <c r="H135" s="51"/>
      <c r="I135" s="51"/>
      <c r="J135" s="51"/>
      <c r="K135" s="51"/>
      <c r="L135" s="51"/>
      <c r="M135" s="51"/>
      <c r="N135" s="51"/>
      <c r="O135" s="51"/>
      <c r="P135" s="51"/>
      <c r="Q135" s="51"/>
      <c r="R135" s="51"/>
      <c r="S135" s="51"/>
      <c r="T135" s="51"/>
      <c r="U135" s="51"/>
      <c r="V135" s="51"/>
      <c r="W135" s="51"/>
      <c r="AB135" s="86"/>
      <c r="AC135" s="86"/>
      <c r="AD135" s="86"/>
      <c r="AE135" s="86"/>
      <c r="AF135" s="86"/>
      <c r="AG135" s="86"/>
      <c r="AH135" s="87"/>
      <c r="AI135" s="87"/>
      <c r="AJ135" s="87"/>
      <c r="AK135" s="87"/>
      <c r="AL135" s="87"/>
      <c r="AM135" s="87"/>
      <c r="AN135" s="87"/>
      <c r="AO135" s="87"/>
      <c r="AP135" s="87"/>
      <c r="AQ135" s="87"/>
      <c r="AR135" s="87"/>
      <c r="AS135" s="87"/>
      <c r="AT135" s="87"/>
      <c r="AU135" s="87"/>
      <c r="AV135" s="87"/>
      <c r="AW135" s="87"/>
      <c r="AX135" s="87"/>
      <c r="AY135" s="88"/>
      <c r="AZ135" s="88"/>
      <c r="BA135" s="88"/>
      <c r="BB135" s="89"/>
    </row>
    <row r="136" spans="1:54" x14ac:dyDescent="0.3">
      <c r="A136" s="50"/>
      <c r="B136" s="50"/>
      <c r="C136" s="50"/>
      <c r="D136" s="50"/>
      <c r="E136" s="50"/>
      <c r="F136" s="50" t="s">
        <v>163</v>
      </c>
      <c r="G136" s="50"/>
      <c r="H136" s="51"/>
      <c r="I136" s="51"/>
      <c r="J136" s="51"/>
      <c r="K136" s="51"/>
      <c r="L136" s="51"/>
      <c r="M136" s="51"/>
      <c r="N136" s="51"/>
      <c r="O136" s="51"/>
      <c r="P136" s="51"/>
      <c r="Q136" s="51"/>
      <c r="R136" s="51"/>
      <c r="S136" s="51"/>
      <c r="T136" s="51"/>
      <c r="U136" s="51"/>
      <c r="V136" s="51"/>
      <c r="W136" s="51"/>
      <c r="AB136" s="86"/>
      <c r="AC136" s="86"/>
      <c r="AD136" s="86"/>
      <c r="AE136" s="86"/>
      <c r="AF136" s="86" t="s">
        <v>163</v>
      </c>
      <c r="AG136" s="86"/>
      <c r="AH136" s="87"/>
      <c r="AI136" s="87"/>
      <c r="AJ136" s="87"/>
      <c r="AK136" s="87"/>
      <c r="AL136" s="87"/>
      <c r="AM136" s="87"/>
      <c r="AN136" s="87"/>
      <c r="AO136" s="87"/>
      <c r="AP136" s="87"/>
      <c r="AQ136" s="87"/>
      <c r="AR136" s="87"/>
      <c r="AS136" s="87"/>
      <c r="AT136" s="87"/>
      <c r="AU136" s="87"/>
      <c r="AV136" s="87"/>
      <c r="AW136" s="87"/>
      <c r="AX136" s="87"/>
      <c r="AY136" s="88"/>
      <c r="AZ136" s="88"/>
      <c r="BA136" s="88"/>
      <c r="BB136" s="89"/>
    </row>
    <row r="137" spans="1:54" x14ac:dyDescent="0.3">
      <c r="A137" s="50"/>
      <c r="B137" s="50"/>
      <c r="C137" s="50"/>
      <c r="D137" s="50"/>
      <c r="E137" s="50"/>
      <c r="F137" s="50"/>
      <c r="G137" s="50" t="s">
        <v>164</v>
      </c>
      <c r="H137" s="51">
        <v>1792.61</v>
      </c>
      <c r="I137" s="51">
        <v>0</v>
      </c>
      <c r="J137" s="51">
        <v>0</v>
      </c>
      <c r="K137" s="51">
        <v>387.88</v>
      </c>
      <c r="L137" s="51">
        <f>2523.37-1900</f>
        <v>623.36999999999989</v>
      </c>
      <c r="M137" s="51">
        <v>2521.58</v>
      </c>
      <c r="N137" s="51">
        <v>2451.31</v>
      </c>
      <c r="O137" s="51">
        <v>0</v>
      </c>
      <c r="P137" s="51">
        <v>223.58</v>
      </c>
      <c r="Q137" s="51">
        <v>0</v>
      </c>
      <c r="R137" s="51">
        <v>989.58</v>
      </c>
      <c r="S137" s="51">
        <v>190</v>
      </c>
      <c r="T137" s="51"/>
      <c r="U137" s="51">
        <f t="shared" ref="U137:U149" si="38">ROUND(SUM(H137:T137),5)</f>
        <v>9179.91</v>
      </c>
      <c r="V137" s="67">
        <v>10000</v>
      </c>
      <c r="W137" s="67">
        <v>15000</v>
      </c>
      <c r="AB137" s="86"/>
      <c r="AC137" s="86"/>
      <c r="AD137" s="86"/>
      <c r="AE137" s="86"/>
      <c r="AF137" s="86"/>
      <c r="AG137" s="86" t="s">
        <v>164</v>
      </c>
      <c r="AH137" s="87"/>
      <c r="AI137" s="87"/>
      <c r="AJ137" s="87"/>
      <c r="AK137" s="87"/>
      <c r="AL137" s="87">
        <v>0</v>
      </c>
      <c r="AM137" s="87">
        <v>0</v>
      </c>
      <c r="AN137" s="87">
        <v>256.27</v>
      </c>
      <c r="AO137" s="87">
        <v>0</v>
      </c>
      <c r="AP137" s="87">
        <v>309.95</v>
      </c>
      <c r="AQ137" s="87">
        <v>0</v>
      </c>
      <c r="AR137" s="87">
        <v>0</v>
      </c>
      <c r="AS137" s="87">
        <v>100</v>
      </c>
      <c r="AT137" s="87">
        <v>0</v>
      </c>
      <c r="AU137" s="87">
        <v>0</v>
      </c>
      <c r="AV137" s="87">
        <v>0</v>
      </c>
      <c r="AW137" s="87">
        <v>0</v>
      </c>
      <c r="AX137" s="87"/>
      <c r="AY137" s="88">
        <f t="shared" ref="AY137:AY149" si="39">ROUND(SUM(AH137:AX137),5)</f>
        <v>666.22</v>
      </c>
      <c r="AZ137" s="88">
        <v>10000</v>
      </c>
      <c r="BA137" s="88">
        <v>10000</v>
      </c>
      <c r="BB137" s="89"/>
    </row>
    <row r="138" spans="1:54" x14ac:dyDescent="0.3">
      <c r="A138" s="50"/>
      <c r="B138" s="50"/>
      <c r="C138" s="50"/>
      <c r="D138" s="50"/>
      <c r="E138" s="50"/>
      <c r="F138" s="50"/>
      <c r="G138" s="50" t="s">
        <v>165</v>
      </c>
      <c r="H138" s="51">
        <v>0</v>
      </c>
      <c r="I138" s="51">
        <v>0</v>
      </c>
      <c r="J138" s="51">
        <v>0</v>
      </c>
      <c r="K138" s="51">
        <v>0</v>
      </c>
      <c r="L138" s="51">
        <v>0</v>
      </c>
      <c r="M138" s="51">
        <v>0</v>
      </c>
      <c r="N138" s="51">
        <v>0</v>
      </c>
      <c r="O138" s="51">
        <v>0</v>
      </c>
      <c r="P138" s="51">
        <v>0</v>
      </c>
      <c r="Q138" s="51">
        <v>0</v>
      </c>
      <c r="R138" s="51">
        <v>0</v>
      </c>
      <c r="S138" s="51">
        <v>0</v>
      </c>
      <c r="T138" s="51"/>
      <c r="U138" s="51">
        <f t="shared" si="38"/>
        <v>0</v>
      </c>
      <c r="V138" s="67">
        <v>2500</v>
      </c>
      <c r="W138" s="67">
        <v>2500</v>
      </c>
      <c r="AB138" s="86"/>
      <c r="AC138" s="86"/>
      <c r="AD138" s="86"/>
      <c r="AE138" s="86"/>
      <c r="AF138" s="86"/>
      <c r="AG138" s="86" t="s">
        <v>165</v>
      </c>
      <c r="AH138" s="87"/>
      <c r="AI138" s="87"/>
      <c r="AJ138" s="87"/>
      <c r="AK138" s="87"/>
      <c r="AL138" s="87">
        <v>260</v>
      </c>
      <c r="AM138" s="87">
        <v>0</v>
      </c>
      <c r="AN138" s="87">
        <v>0</v>
      </c>
      <c r="AO138" s="87">
        <v>0</v>
      </c>
      <c r="AP138" s="87">
        <v>0</v>
      </c>
      <c r="AQ138" s="87">
        <v>0</v>
      </c>
      <c r="AR138" s="87">
        <v>55.85</v>
      </c>
      <c r="AS138" s="87">
        <v>0</v>
      </c>
      <c r="AT138" s="87">
        <v>675</v>
      </c>
      <c r="AU138" s="87">
        <v>1525</v>
      </c>
      <c r="AV138" s="87">
        <v>591</v>
      </c>
      <c r="AW138" s="87">
        <v>0</v>
      </c>
      <c r="AX138" s="87"/>
      <c r="AY138" s="88">
        <f t="shared" si="39"/>
        <v>3106.85</v>
      </c>
      <c r="AZ138" s="88">
        <v>2500</v>
      </c>
      <c r="BA138" s="88">
        <v>2500</v>
      </c>
      <c r="BB138" s="89"/>
    </row>
    <row r="139" spans="1:54" x14ac:dyDescent="0.3">
      <c r="A139" s="50"/>
      <c r="B139" s="50"/>
      <c r="C139" s="50"/>
      <c r="D139" s="50"/>
      <c r="E139" s="50"/>
      <c r="F139" s="50"/>
      <c r="G139" s="50" t="s">
        <v>166</v>
      </c>
      <c r="H139" s="51">
        <v>2668.6</v>
      </c>
      <c r="I139" s="51">
        <v>61</v>
      </c>
      <c r="J139" s="51">
        <v>490</v>
      </c>
      <c r="K139" s="51">
        <v>2228</v>
      </c>
      <c r="L139" s="51">
        <v>2690</v>
      </c>
      <c r="M139" s="51">
        <v>490</v>
      </c>
      <c r="N139" s="51">
        <v>490</v>
      </c>
      <c r="O139" s="51">
        <v>2228</v>
      </c>
      <c r="P139" s="51">
        <v>539.59</v>
      </c>
      <c r="Q139" s="51">
        <v>2135.7199999999998</v>
      </c>
      <c r="R139" s="51">
        <v>2280.1999999999998</v>
      </c>
      <c r="S139" s="51">
        <v>490</v>
      </c>
      <c r="T139" s="51"/>
      <c r="U139" s="51">
        <f t="shared" si="38"/>
        <v>16791.11</v>
      </c>
      <c r="V139" s="67">
        <v>16500</v>
      </c>
      <c r="W139" s="67">
        <v>18000</v>
      </c>
      <c r="AB139" s="86"/>
      <c r="AC139" s="86"/>
      <c r="AD139" s="86"/>
      <c r="AE139" s="86"/>
      <c r="AF139" s="86"/>
      <c r="AG139" s="86" t="s">
        <v>166</v>
      </c>
      <c r="AH139" s="87"/>
      <c r="AI139" s="87"/>
      <c r="AJ139" s="87"/>
      <c r="AK139" s="87"/>
      <c r="AL139" s="87">
        <v>2873.04</v>
      </c>
      <c r="AM139" s="87">
        <v>51</v>
      </c>
      <c r="AN139" s="87">
        <v>490</v>
      </c>
      <c r="AO139" s="87">
        <v>2228</v>
      </c>
      <c r="AP139" s="87">
        <v>650.25</v>
      </c>
      <c r="AQ139" s="87">
        <v>497.74</v>
      </c>
      <c r="AR139" s="87">
        <v>2718</v>
      </c>
      <c r="AS139" s="87">
        <v>490</v>
      </c>
      <c r="AT139" s="87">
        <v>490</v>
      </c>
      <c r="AU139" s="87">
        <v>504.13</v>
      </c>
      <c r="AV139" s="87">
        <v>2433.37</v>
      </c>
      <c r="AW139" s="87">
        <v>0</v>
      </c>
      <c r="AX139" s="87"/>
      <c r="AY139" s="88">
        <f t="shared" si="39"/>
        <v>13425.53</v>
      </c>
      <c r="AZ139" s="88">
        <v>16500</v>
      </c>
      <c r="BA139" s="88">
        <v>16500</v>
      </c>
      <c r="BB139" s="89"/>
    </row>
    <row r="140" spans="1:54" x14ac:dyDescent="0.3">
      <c r="A140" s="50"/>
      <c r="B140" s="50"/>
      <c r="C140" s="50"/>
      <c r="D140" s="50"/>
      <c r="E140" s="50"/>
      <c r="F140" s="50"/>
      <c r="G140" s="50" t="s">
        <v>167</v>
      </c>
      <c r="H140" s="51">
        <v>900</v>
      </c>
      <c r="I140" s="51">
        <v>46</v>
      </c>
      <c r="J140" s="51">
        <v>450</v>
      </c>
      <c r="K140" s="51">
        <v>496</v>
      </c>
      <c r="L140" s="51">
        <v>691</v>
      </c>
      <c r="M140" s="51">
        <v>450</v>
      </c>
      <c r="N140" s="51">
        <v>546</v>
      </c>
      <c r="O140" s="51">
        <v>500</v>
      </c>
      <c r="P140" s="51">
        <v>546</v>
      </c>
      <c r="Q140" s="51">
        <v>546</v>
      </c>
      <c r="R140" s="51">
        <v>500</v>
      </c>
      <c r="S140" s="51">
        <v>450</v>
      </c>
      <c r="T140" s="51"/>
      <c r="U140" s="51">
        <f t="shared" si="38"/>
        <v>6121</v>
      </c>
      <c r="V140" s="67">
        <v>6000</v>
      </c>
      <c r="W140" s="67">
        <v>6800</v>
      </c>
      <c r="AB140" s="86"/>
      <c r="AC140" s="86"/>
      <c r="AD140" s="86"/>
      <c r="AE140" s="86"/>
      <c r="AF140" s="86"/>
      <c r="AG140" s="86" t="s">
        <v>167</v>
      </c>
      <c r="AH140" s="87"/>
      <c r="AI140" s="87"/>
      <c r="AJ140" s="87"/>
      <c r="AK140" s="87"/>
      <c r="AL140" s="87">
        <v>496</v>
      </c>
      <c r="AM140" s="87">
        <v>450</v>
      </c>
      <c r="AN140" s="87">
        <v>496</v>
      </c>
      <c r="AO140" s="87">
        <v>450</v>
      </c>
      <c r="AP140" s="87">
        <v>450</v>
      </c>
      <c r="AQ140" s="87">
        <v>496</v>
      </c>
      <c r="AR140" s="87">
        <v>496</v>
      </c>
      <c r="AS140" s="87">
        <v>450</v>
      </c>
      <c r="AT140" s="87">
        <v>496</v>
      </c>
      <c r="AU140" s="87">
        <v>450</v>
      </c>
      <c r="AV140" s="87">
        <v>496</v>
      </c>
      <c r="AW140" s="87">
        <v>450</v>
      </c>
      <c r="AX140" s="87"/>
      <c r="AY140" s="88">
        <f t="shared" si="39"/>
        <v>5676</v>
      </c>
      <c r="AZ140" s="88">
        <v>6000</v>
      </c>
      <c r="BA140" s="88">
        <v>6000</v>
      </c>
      <c r="BB140" s="89"/>
    </row>
    <row r="141" spans="1:54" x14ac:dyDescent="0.3">
      <c r="A141" s="50"/>
      <c r="B141" s="50"/>
      <c r="C141" s="50"/>
      <c r="D141" s="50"/>
      <c r="E141" s="50"/>
      <c r="F141" s="50"/>
      <c r="G141" s="50" t="s">
        <v>168</v>
      </c>
      <c r="H141" s="51">
        <v>0</v>
      </c>
      <c r="I141" s="51">
        <v>1400</v>
      </c>
      <c r="J141" s="51">
        <v>0</v>
      </c>
      <c r="K141" s="51">
        <v>0</v>
      </c>
      <c r="L141" s="51">
        <v>400</v>
      </c>
      <c r="M141" s="51">
        <v>0</v>
      </c>
      <c r="N141" s="51">
        <v>0</v>
      </c>
      <c r="O141" s="51">
        <v>0</v>
      </c>
      <c r="P141" s="51">
        <v>0</v>
      </c>
      <c r="Q141" s="51">
        <v>0</v>
      </c>
      <c r="R141" s="51">
        <v>0</v>
      </c>
      <c r="S141" s="51">
        <v>800</v>
      </c>
      <c r="T141" s="51"/>
      <c r="U141" s="51">
        <f t="shared" si="38"/>
        <v>2600</v>
      </c>
      <c r="V141" s="67">
        <v>2500</v>
      </c>
      <c r="W141" s="67">
        <v>2650</v>
      </c>
      <c r="AB141" s="86"/>
      <c r="AC141" s="86"/>
      <c r="AD141" s="86"/>
      <c r="AE141" s="86"/>
      <c r="AF141" s="86"/>
      <c r="AG141" s="86" t="s">
        <v>168</v>
      </c>
      <c r="AH141" s="87"/>
      <c r="AI141" s="87"/>
      <c r="AJ141" s="87"/>
      <c r="AK141" s="87"/>
      <c r="AL141" s="87">
        <v>300</v>
      </c>
      <c r="AM141" s="87">
        <v>0</v>
      </c>
      <c r="AN141" s="87">
        <v>0</v>
      </c>
      <c r="AO141" s="87">
        <v>0</v>
      </c>
      <c r="AP141" s="87">
        <v>0</v>
      </c>
      <c r="AQ141" s="87">
        <v>0</v>
      </c>
      <c r="AR141" s="87">
        <v>0</v>
      </c>
      <c r="AS141" s="87">
        <v>0</v>
      </c>
      <c r="AT141" s="87">
        <v>0</v>
      </c>
      <c r="AU141" s="87">
        <v>0</v>
      </c>
      <c r="AV141" s="87">
        <v>0</v>
      </c>
      <c r="AW141" s="87">
        <v>0</v>
      </c>
      <c r="AX141" s="87"/>
      <c r="AY141" s="88">
        <f t="shared" si="39"/>
        <v>300</v>
      </c>
      <c r="AZ141" s="88">
        <v>3500</v>
      </c>
      <c r="BA141" s="88">
        <v>2500</v>
      </c>
      <c r="BB141" s="89" t="s">
        <v>252</v>
      </c>
    </row>
    <row r="142" spans="1:54" x14ac:dyDescent="0.3">
      <c r="A142" s="50"/>
      <c r="B142" s="50"/>
      <c r="C142" s="50"/>
      <c r="D142" s="50"/>
      <c r="E142" s="50"/>
      <c r="F142" s="50"/>
      <c r="G142" s="50" t="s">
        <v>169</v>
      </c>
      <c r="H142" s="51">
        <v>0</v>
      </c>
      <c r="I142" s="51">
        <v>0</v>
      </c>
      <c r="J142" s="51">
        <v>155</v>
      </c>
      <c r="K142" s="51">
        <v>172</v>
      </c>
      <c r="L142" s="51">
        <v>0</v>
      </c>
      <c r="M142" s="51">
        <v>930</v>
      </c>
      <c r="N142" s="51">
        <v>0</v>
      </c>
      <c r="O142" s="51">
        <v>0</v>
      </c>
      <c r="P142" s="51">
        <v>305</v>
      </c>
      <c r="Q142" s="51">
        <v>0</v>
      </c>
      <c r="R142" s="51">
        <v>761</v>
      </c>
      <c r="S142" s="51">
        <v>465</v>
      </c>
      <c r="T142" s="51"/>
      <c r="U142" s="51">
        <f t="shared" si="38"/>
        <v>2788</v>
      </c>
      <c r="V142" s="67">
        <v>2500</v>
      </c>
      <c r="W142" s="67">
        <v>3000</v>
      </c>
      <c r="AB142" s="86"/>
      <c r="AC142" s="86"/>
      <c r="AD142" s="86"/>
      <c r="AE142" s="86"/>
      <c r="AF142" s="86"/>
      <c r="AG142" s="86" t="s">
        <v>169</v>
      </c>
      <c r="AH142" s="87"/>
      <c r="AI142" s="87"/>
      <c r="AJ142" s="87"/>
      <c r="AK142" s="87"/>
      <c r="AL142" s="87">
        <v>0</v>
      </c>
      <c r="AM142" s="87">
        <v>0</v>
      </c>
      <c r="AN142" s="87">
        <v>389</v>
      </c>
      <c r="AO142" s="87">
        <v>125</v>
      </c>
      <c r="AP142" s="87">
        <v>250</v>
      </c>
      <c r="AQ142" s="87">
        <v>0</v>
      </c>
      <c r="AR142" s="87">
        <v>0</v>
      </c>
      <c r="AS142" s="87">
        <v>0</v>
      </c>
      <c r="AT142" s="87">
        <v>560</v>
      </c>
      <c r="AU142" s="87">
        <v>0</v>
      </c>
      <c r="AV142" s="87">
        <v>250</v>
      </c>
      <c r="AW142" s="87">
        <v>0</v>
      </c>
      <c r="AX142" s="87"/>
      <c r="AY142" s="88">
        <f t="shared" si="39"/>
        <v>1574</v>
      </c>
      <c r="AZ142" s="88">
        <v>2500</v>
      </c>
      <c r="BA142" s="88">
        <v>2500</v>
      </c>
      <c r="BB142" s="89"/>
    </row>
    <row r="143" spans="1:54" ht="13.8" customHeight="1" x14ac:dyDescent="0.3">
      <c r="A143" s="50"/>
      <c r="B143" s="50"/>
      <c r="C143" s="50"/>
      <c r="D143" s="50"/>
      <c r="E143" s="50"/>
      <c r="F143" s="50"/>
      <c r="G143" s="50" t="s">
        <v>170</v>
      </c>
      <c r="H143" s="51">
        <v>0</v>
      </c>
      <c r="I143" s="51">
        <v>0</v>
      </c>
      <c r="J143" s="51">
        <v>0</v>
      </c>
      <c r="K143" s="51">
        <v>0</v>
      </c>
      <c r="L143" s="51">
        <v>0</v>
      </c>
      <c r="M143" s="51">
        <v>0</v>
      </c>
      <c r="N143" s="51">
        <v>0</v>
      </c>
      <c r="O143" s="51">
        <v>0</v>
      </c>
      <c r="P143" s="51">
        <v>0</v>
      </c>
      <c r="Q143" s="51">
        <v>0</v>
      </c>
      <c r="R143" s="51">
        <v>0</v>
      </c>
      <c r="S143" s="51">
        <v>0</v>
      </c>
      <c r="T143" s="51"/>
      <c r="U143" s="51">
        <v>0</v>
      </c>
      <c r="V143" s="67">
        <v>400</v>
      </c>
      <c r="W143" s="67">
        <v>400</v>
      </c>
      <c r="AB143" s="86"/>
      <c r="AC143" s="86"/>
      <c r="AD143" s="86"/>
      <c r="AE143" s="86"/>
      <c r="AF143" s="86"/>
      <c r="AG143" s="86" t="s">
        <v>170</v>
      </c>
      <c r="AH143" s="87"/>
      <c r="AI143" s="87"/>
      <c r="AJ143" s="87"/>
      <c r="AK143" s="87"/>
      <c r="AL143" s="87">
        <v>0</v>
      </c>
      <c r="AM143" s="87">
        <v>0</v>
      </c>
      <c r="AN143" s="87">
        <v>0</v>
      </c>
      <c r="AO143" s="87">
        <v>0</v>
      </c>
      <c r="AP143" s="87">
        <v>0</v>
      </c>
      <c r="AQ143" s="87">
        <v>0</v>
      </c>
      <c r="AR143" s="87">
        <v>0</v>
      </c>
      <c r="AS143" s="87">
        <v>0</v>
      </c>
      <c r="AT143" s="87">
        <v>0</v>
      </c>
      <c r="AU143" s="87">
        <v>0</v>
      </c>
      <c r="AV143" s="87">
        <v>0</v>
      </c>
      <c r="AW143" s="87">
        <v>0</v>
      </c>
      <c r="AX143" s="87"/>
      <c r="AY143" s="88">
        <f t="shared" si="39"/>
        <v>0</v>
      </c>
      <c r="AZ143" s="88">
        <v>250</v>
      </c>
      <c r="BA143" s="88">
        <v>400</v>
      </c>
      <c r="BB143" s="89" t="s">
        <v>263</v>
      </c>
    </row>
    <row r="144" spans="1:54" ht="13.8" customHeight="1" x14ac:dyDescent="0.3">
      <c r="A144" s="50"/>
      <c r="B144" s="50"/>
      <c r="C144" s="50"/>
      <c r="D144" s="50"/>
      <c r="E144" s="50"/>
      <c r="F144" s="50"/>
      <c r="G144" s="50" t="s">
        <v>171</v>
      </c>
      <c r="H144" s="51">
        <v>333.11</v>
      </c>
      <c r="I144" s="51">
        <v>0</v>
      </c>
      <c r="J144" s="51">
        <v>666.22</v>
      </c>
      <c r="K144" s="51">
        <v>71.599999999999994</v>
      </c>
      <c r="L144" s="51">
        <v>666.22</v>
      </c>
      <c r="M144" s="51">
        <v>8306.75</v>
      </c>
      <c r="N144" s="51">
        <v>149.18</v>
      </c>
      <c r="O144" s="51">
        <v>7675.8</v>
      </c>
      <c r="P144" s="51">
        <v>327.41000000000003</v>
      </c>
      <c r="Q144" s="51">
        <v>59.1</v>
      </c>
      <c r="R144" s="51">
        <v>228.97</v>
      </c>
      <c r="S144" s="51">
        <v>758.23</v>
      </c>
      <c r="T144" s="51"/>
      <c r="U144" s="51">
        <f t="shared" si="38"/>
        <v>19242.59</v>
      </c>
      <c r="V144" s="67">
        <v>7500</v>
      </c>
      <c r="W144" s="67">
        <v>7500</v>
      </c>
      <c r="AB144" s="86"/>
      <c r="AC144" s="86"/>
      <c r="AD144" s="86"/>
      <c r="AE144" s="86"/>
      <c r="AF144" s="86"/>
      <c r="AG144" s="86" t="s">
        <v>171</v>
      </c>
      <c r="AH144" s="87"/>
      <c r="AI144" s="87"/>
      <c r="AJ144" s="87"/>
      <c r="AK144" s="87"/>
      <c r="AL144" s="87">
        <v>305.61</v>
      </c>
      <c r="AM144" s="87">
        <v>0</v>
      </c>
      <c r="AN144" s="87">
        <v>611.22</v>
      </c>
      <c r="AO144" s="87">
        <v>305.61</v>
      </c>
      <c r="AP144" s="87">
        <v>305.61</v>
      </c>
      <c r="AQ144" s="87">
        <v>414.25</v>
      </c>
      <c r="AR144" s="87">
        <v>305.61</v>
      </c>
      <c r="AS144" s="87">
        <v>0</v>
      </c>
      <c r="AT144" s="87">
        <v>611.22</v>
      </c>
      <c r="AU144" s="87">
        <v>305.61</v>
      </c>
      <c r="AV144" s="87">
        <v>305.61</v>
      </c>
      <c r="AW144" s="87">
        <v>305.61</v>
      </c>
      <c r="AX144" s="87"/>
      <c r="AY144" s="88">
        <f t="shared" si="39"/>
        <v>3775.96</v>
      </c>
      <c r="AZ144" s="88">
        <v>3700</v>
      </c>
      <c r="BA144" s="88">
        <v>7500</v>
      </c>
      <c r="BB144" s="89" t="s">
        <v>262</v>
      </c>
    </row>
    <row r="145" spans="1:56" ht="13.8" customHeight="1" x14ac:dyDescent="0.3">
      <c r="A145" s="50"/>
      <c r="B145" s="50"/>
      <c r="C145" s="50"/>
      <c r="D145" s="50"/>
      <c r="E145" s="50"/>
      <c r="F145" s="50"/>
      <c r="G145" s="50" t="s">
        <v>172</v>
      </c>
      <c r="H145" s="51">
        <v>187.95</v>
      </c>
      <c r="I145" s="51">
        <v>185.81</v>
      </c>
      <c r="J145" s="51">
        <v>187.35</v>
      </c>
      <c r="K145" s="51">
        <v>471.19</v>
      </c>
      <c r="L145" s="51">
        <v>36.840000000000003</v>
      </c>
      <c r="M145" s="51">
        <v>228.9</v>
      </c>
      <c r="N145" s="51">
        <v>0</v>
      </c>
      <c r="O145" s="51">
        <v>385.67</v>
      </c>
      <c r="P145" s="51">
        <v>484.47</v>
      </c>
      <c r="Q145" s="51">
        <v>184.32</v>
      </c>
      <c r="R145" s="51">
        <v>747.8</v>
      </c>
      <c r="S145" s="51">
        <v>185.81</v>
      </c>
      <c r="T145" s="51"/>
      <c r="U145" s="51">
        <f t="shared" si="38"/>
        <v>3286.11</v>
      </c>
      <c r="V145" s="67">
        <v>4000</v>
      </c>
      <c r="W145" s="67">
        <v>4800</v>
      </c>
      <c r="AB145" s="86"/>
      <c r="AC145" s="86"/>
      <c r="AD145" s="86"/>
      <c r="AE145" s="86"/>
      <c r="AF145" s="86"/>
      <c r="AG145" s="86" t="s">
        <v>172</v>
      </c>
      <c r="AH145" s="87"/>
      <c r="AI145" s="87"/>
      <c r="AJ145" s="87"/>
      <c r="AK145" s="87"/>
      <c r="AL145" s="87">
        <v>330.81</v>
      </c>
      <c r="AM145" s="87">
        <v>96.32</v>
      </c>
      <c r="AN145" s="87">
        <v>169.12</v>
      </c>
      <c r="AO145" s="87">
        <v>97.75</v>
      </c>
      <c r="AP145" s="87">
        <v>134.9</v>
      </c>
      <c r="AQ145" s="87">
        <v>147.91</v>
      </c>
      <c r="AR145" s="87">
        <v>325.38</v>
      </c>
      <c r="AS145" s="87">
        <v>0</v>
      </c>
      <c r="AT145" s="87">
        <v>265.42</v>
      </c>
      <c r="AU145" s="87">
        <v>163.34</v>
      </c>
      <c r="AV145" s="87">
        <v>122.25</v>
      </c>
      <c r="AW145" s="87">
        <v>199.82</v>
      </c>
      <c r="AX145" s="87"/>
      <c r="AY145" s="88">
        <f t="shared" si="39"/>
        <v>2053.02</v>
      </c>
      <c r="AZ145" s="88">
        <v>2800</v>
      </c>
      <c r="BA145" s="88">
        <v>4000</v>
      </c>
      <c r="BB145" s="89" t="s">
        <v>261</v>
      </c>
    </row>
    <row r="146" spans="1:56" x14ac:dyDescent="0.3">
      <c r="A146" s="50"/>
      <c r="B146" s="50"/>
      <c r="C146" s="50"/>
      <c r="D146" s="50"/>
      <c r="E146" s="50"/>
      <c r="F146" s="50"/>
      <c r="G146" s="50" t="s">
        <v>173</v>
      </c>
      <c r="H146" s="51">
        <v>199.95</v>
      </c>
      <c r="I146" s="51">
        <v>764.87</v>
      </c>
      <c r="J146" s="51">
        <v>199.95</v>
      </c>
      <c r="K146" s="51">
        <v>1384.11</v>
      </c>
      <c r="L146" s="51">
        <v>471.42</v>
      </c>
      <c r="M146" s="51">
        <v>1236.1400000000001</v>
      </c>
      <c r="N146" s="51">
        <v>1269.6099999999999</v>
      </c>
      <c r="O146" s="51">
        <v>258.58</v>
      </c>
      <c r="P146" s="51">
        <v>2321.1999999999998</v>
      </c>
      <c r="Q146" s="51">
        <v>1105.0999999999999</v>
      </c>
      <c r="R146" s="51">
        <v>1284.1099999999999</v>
      </c>
      <c r="S146" s="51">
        <v>938.47</v>
      </c>
      <c r="T146" s="51"/>
      <c r="U146" s="51">
        <f t="shared" si="38"/>
        <v>11433.51</v>
      </c>
      <c r="V146" s="67">
        <v>13000</v>
      </c>
      <c r="W146" s="67">
        <v>13000</v>
      </c>
      <c r="AB146" s="86"/>
      <c r="AC146" s="86"/>
      <c r="AD146" s="86"/>
      <c r="AE146" s="86"/>
      <c r="AF146" s="86"/>
      <c r="AG146" s="86" t="s">
        <v>173</v>
      </c>
      <c r="AH146" s="87"/>
      <c r="AI146" s="87"/>
      <c r="AJ146" s="87"/>
      <c r="AK146" s="87"/>
      <c r="AL146" s="87">
        <v>1549.97</v>
      </c>
      <c r="AM146" s="87">
        <v>1016.67</v>
      </c>
      <c r="AN146" s="87">
        <v>1015.39</v>
      </c>
      <c r="AO146" s="87">
        <v>289.32</v>
      </c>
      <c r="AP146" s="87">
        <v>1934.04</v>
      </c>
      <c r="AQ146" s="87">
        <v>903.78</v>
      </c>
      <c r="AR146" s="87">
        <v>1184.33</v>
      </c>
      <c r="AS146" s="87">
        <v>443.68</v>
      </c>
      <c r="AT146" s="87">
        <v>1731.99</v>
      </c>
      <c r="AU146" s="87">
        <v>1022.29</v>
      </c>
      <c r="AV146" s="87">
        <v>833.3</v>
      </c>
      <c r="AW146" s="87">
        <v>572.04999999999995</v>
      </c>
      <c r="AX146" s="87"/>
      <c r="AY146" s="88">
        <f t="shared" si="39"/>
        <v>12496.81</v>
      </c>
      <c r="AZ146" s="88">
        <v>12500</v>
      </c>
      <c r="BA146" s="88">
        <v>13000</v>
      </c>
      <c r="BB146" s="89"/>
    </row>
    <row r="147" spans="1:56" ht="15" thickBot="1" x14ac:dyDescent="0.35">
      <c r="A147" s="50"/>
      <c r="B147" s="50"/>
      <c r="C147" s="50"/>
      <c r="D147" s="50"/>
      <c r="E147" s="50"/>
      <c r="F147" s="50"/>
      <c r="G147" s="50" t="s">
        <v>174</v>
      </c>
      <c r="H147" s="51">
        <v>2011.87</v>
      </c>
      <c r="I147" s="51">
        <v>0</v>
      </c>
      <c r="J147" s="51">
        <v>299.66000000000003</v>
      </c>
      <c r="K147" s="51">
        <v>1323.9</v>
      </c>
      <c r="L147" s="51">
        <v>45.99</v>
      </c>
      <c r="M147" s="51">
        <v>442.46</v>
      </c>
      <c r="N147" s="51">
        <v>0</v>
      </c>
      <c r="O147" s="51">
        <v>342.55</v>
      </c>
      <c r="P147" s="51">
        <v>0</v>
      </c>
      <c r="Q147" s="51">
        <v>60.42</v>
      </c>
      <c r="R147" s="51">
        <v>0</v>
      </c>
      <c r="S147" s="51">
        <v>11382.67</v>
      </c>
      <c r="T147" s="51"/>
      <c r="U147" s="51">
        <f t="shared" si="38"/>
        <v>15909.52</v>
      </c>
      <c r="V147" s="67">
        <v>8500</v>
      </c>
      <c r="W147" s="67">
        <v>8500</v>
      </c>
      <c r="AB147" s="86"/>
      <c r="AC147" s="86"/>
      <c r="AD147" s="86"/>
      <c r="AE147" s="86"/>
      <c r="AF147" s="86"/>
      <c r="AG147" s="86" t="s">
        <v>174</v>
      </c>
      <c r="AH147" s="87"/>
      <c r="AI147" s="87"/>
      <c r="AJ147" s="87"/>
      <c r="AK147" s="87"/>
      <c r="AL147" s="87">
        <v>0</v>
      </c>
      <c r="AM147" s="87">
        <v>0</v>
      </c>
      <c r="AN147" s="87">
        <v>188.42</v>
      </c>
      <c r="AO147" s="87">
        <v>1763.16</v>
      </c>
      <c r="AP147" s="87">
        <v>0</v>
      </c>
      <c r="AQ147" s="87">
        <v>82</v>
      </c>
      <c r="AR147" s="87">
        <v>88</v>
      </c>
      <c r="AS147" s="87">
        <v>0</v>
      </c>
      <c r="AT147" s="87">
        <v>216</v>
      </c>
      <c r="AU147" s="87">
        <v>0</v>
      </c>
      <c r="AV147" s="87">
        <v>0</v>
      </c>
      <c r="AW147" s="87">
        <v>0</v>
      </c>
      <c r="AX147" s="87"/>
      <c r="AY147" s="88">
        <f t="shared" si="39"/>
        <v>2337.58</v>
      </c>
      <c r="AZ147" s="88">
        <v>8500</v>
      </c>
      <c r="BA147" s="88">
        <v>8500</v>
      </c>
      <c r="BB147" s="89"/>
    </row>
    <row r="148" spans="1:56" ht="15" thickBot="1" x14ac:dyDescent="0.35">
      <c r="A148" s="50"/>
      <c r="B148" s="50"/>
      <c r="C148" s="50"/>
      <c r="D148" s="50"/>
      <c r="E148" s="50"/>
      <c r="F148" s="50" t="s">
        <v>175</v>
      </c>
      <c r="G148" s="50"/>
      <c r="H148" s="53">
        <f t="shared" ref="H148:S148" si="40">ROUND(SUM(H136:H147),5)</f>
        <v>8094.09</v>
      </c>
      <c r="I148" s="53">
        <f t="shared" si="40"/>
        <v>2457.6799999999998</v>
      </c>
      <c r="J148" s="53">
        <f t="shared" si="40"/>
        <v>2448.1799999999998</v>
      </c>
      <c r="K148" s="53">
        <f t="shared" si="40"/>
        <v>6534.68</v>
      </c>
      <c r="L148" s="53">
        <f t="shared" si="40"/>
        <v>5624.84</v>
      </c>
      <c r="M148" s="53">
        <f t="shared" si="40"/>
        <v>14605.83</v>
      </c>
      <c r="N148" s="53">
        <f t="shared" si="40"/>
        <v>4906.1000000000004</v>
      </c>
      <c r="O148" s="53">
        <f t="shared" si="40"/>
        <v>11390.6</v>
      </c>
      <c r="P148" s="53">
        <f t="shared" si="40"/>
        <v>4747.25</v>
      </c>
      <c r="Q148" s="53">
        <f t="shared" si="40"/>
        <v>4090.66</v>
      </c>
      <c r="R148" s="53">
        <f t="shared" si="40"/>
        <v>6791.66</v>
      </c>
      <c r="S148" s="53">
        <f t="shared" si="40"/>
        <v>15660.18</v>
      </c>
      <c r="T148" s="53"/>
      <c r="U148" s="53">
        <f t="shared" si="38"/>
        <v>87351.75</v>
      </c>
      <c r="V148" s="53">
        <f>ROUND(SUM(V136:V147),5)</f>
        <v>73400</v>
      </c>
      <c r="W148" s="53">
        <f>ROUND(SUM(W136:W147),5)</f>
        <v>82150</v>
      </c>
      <c r="AB148" s="86"/>
      <c r="AC148" s="86"/>
      <c r="AD148" s="86"/>
      <c r="AE148" s="86" t="s">
        <v>176</v>
      </c>
      <c r="AF148" s="86" t="s">
        <v>175</v>
      </c>
      <c r="AG148" s="86"/>
      <c r="AH148" s="93"/>
      <c r="AI148" s="93"/>
      <c r="AJ148" s="93"/>
      <c r="AK148" s="93"/>
      <c r="AL148" s="93">
        <f t="shared" ref="AL148:AW148" si="41">ROUND(SUM(AL136:AL147),5)</f>
        <v>6115.43</v>
      </c>
      <c r="AM148" s="93">
        <f t="shared" si="41"/>
        <v>1613.99</v>
      </c>
      <c r="AN148" s="93">
        <f t="shared" si="41"/>
        <v>3615.42</v>
      </c>
      <c r="AO148" s="93">
        <f t="shared" si="41"/>
        <v>5258.84</v>
      </c>
      <c r="AP148" s="93">
        <f t="shared" si="41"/>
        <v>4034.75</v>
      </c>
      <c r="AQ148" s="93">
        <f t="shared" si="41"/>
        <v>2541.6799999999998</v>
      </c>
      <c r="AR148" s="93">
        <f t="shared" si="41"/>
        <v>5173.17</v>
      </c>
      <c r="AS148" s="93">
        <f t="shared" si="41"/>
        <v>1483.68</v>
      </c>
      <c r="AT148" s="93">
        <f t="shared" si="41"/>
        <v>5045.63</v>
      </c>
      <c r="AU148" s="93">
        <f t="shared" si="41"/>
        <v>3970.37</v>
      </c>
      <c r="AV148" s="93">
        <f t="shared" si="41"/>
        <v>5031.53</v>
      </c>
      <c r="AW148" s="93">
        <f t="shared" si="41"/>
        <v>1527.48</v>
      </c>
      <c r="AX148" s="93"/>
      <c r="AY148" s="94">
        <f t="shared" si="39"/>
        <v>45411.97</v>
      </c>
      <c r="AZ148" s="94">
        <f>ROUND(SUM(AZ136:AZ147),5)</f>
        <v>68750</v>
      </c>
      <c r="BA148" s="94">
        <f>ROUND(SUM(BA136:BA147),5)</f>
        <v>73400</v>
      </c>
      <c r="BB148" s="95"/>
    </row>
    <row r="149" spans="1:56" x14ac:dyDescent="0.3">
      <c r="A149" s="50"/>
      <c r="B149" s="50"/>
      <c r="C149" s="50"/>
      <c r="D149" s="50"/>
      <c r="E149" s="50" t="s">
        <v>176</v>
      </c>
      <c r="F149" s="50"/>
      <c r="G149" s="50"/>
      <c r="H149" s="51">
        <f t="shared" ref="H149:S149" si="42">ROUND(H72+H76+H124+H148,5)</f>
        <v>12924.06</v>
      </c>
      <c r="I149" s="51">
        <f t="shared" si="42"/>
        <v>11023.44</v>
      </c>
      <c r="J149" s="51">
        <f t="shared" si="42"/>
        <v>11741.11</v>
      </c>
      <c r="K149" s="51">
        <f t="shared" si="42"/>
        <v>25380.53</v>
      </c>
      <c r="L149" s="51">
        <f t="shared" si="42"/>
        <v>14068.64</v>
      </c>
      <c r="M149" s="51">
        <f t="shared" si="42"/>
        <v>23086.62</v>
      </c>
      <c r="N149" s="51">
        <f t="shared" si="42"/>
        <v>12862.43</v>
      </c>
      <c r="O149" s="51">
        <f t="shared" si="42"/>
        <v>16906.099999999999</v>
      </c>
      <c r="P149" s="51">
        <f t="shared" si="42"/>
        <v>11140.94</v>
      </c>
      <c r="Q149" s="51">
        <f t="shared" si="42"/>
        <v>11727.36</v>
      </c>
      <c r="R149" s="51">
        <f t="shared" si="42"/>
        <v>11613.56</v>
      </c>
      <c r="S149" s="51">
        <f t="shared" si="42"/>
        <v>25653.360000000001</v>
      </c>
      <c r="T149" s="51"/>
      <c r="U149" s="51">
        <f t="shared" si="38"/>
        <v>188128.15</v>
      </c>
      <c r="V149" s="51">
        <f>ROUND(V72+V76+V124+V148,5)</f>
        <v>255150</v>
      </c>
      <c r="W149" s="51">
        <f>ROUND(W72+W76+W124+W148,5)</f>
        <v>270500</v>
      </c>
      <c r="AB149" s="86"/>
      <c r="AC149" s="86"/>
      <c r="AD149" s="86"/>
      <c r="AE149" s="86" t="s">
        <v>177</v>
      </c>
      <c r="AF149" s="86"/>
      <c r="AG149" s="86"/>
      <c r="AH149" s="87"/>
      <c r="AI149" s="87"/>
      <c r="AJ149" s="87"/>
      <c r="AK149" s="87"/>
      <c r="AL149" s="87">
        <f t="shared" ref="AL149:AW149" si="43">ROUND(AL72+AL76+AL124+AL148,5)</f>
        <v>11309.88</v>
      </c>
      <c r="AM149" s="87">
        <f t="shared" si="43"/>
        <v>16749.12</v>
      </c>
      <c r="AN149" s="87">
        <f t="shared" si="43"/>
        <v>12622.71</v>
      </c>
      <c r="AO149" s="87">
        <f t="shared" si="43"/>
        <v>11103.24</v>
      </c>
      <c r="AP149" s="87">
        <f t="shared" si="43"/>
        <v>11446.41</v>
      </c>
      <c r="AQ149" s="87">
        <f t="shared" si="43"/>
        <v>10453.459999999999</v>
      </c>
      <c r="AR149" s="87">
        <f t="shared" si="43"/>
        <v>11012.23</v>
      </c>
      <c r="AS149" s="87">
        <f t="shared" si="43"/>
        <v>6587.86</v>
      </c>
      <c r="AT149" s="87">
        <f t="shared" si="43"/>
        <v>12475.07</v>
      </c>
      <c r="AU149" s="87">
        <f t="shared" si="43"/>
        <v>10928.87</v>
      </c>
      <c r="AV149" s="87">
        <f t="shared" si="43"/>
        <v>12329.12</v>
      </c>
      <c r="AW149" s="87">
        <f t="shared" si="43"/>
        <v>11692.02</v>
      </c>
      <c r="AX149" s="87"/>
      <c r="AY149" s="88">
        <f t="shared" si="39"/>
        <v>138709.99</v>
      </c>
      <c r="AZ149" s="88">
        <f>ROUND(AZ72+AZ76+AZ124+AZ148,5)</f>
        <v>248400</v>
      </c>
      <c r="BA149" s="88">
        <f>ROUND(BA72+BA76+BA124+BA148,5)</f>
        <v>255150</v>
      </c>
      <c r="BB149" s="89"/>
    </row>
    <row r="150" spans="1:56" x14ac:dyDescent="0.3">
      <c r="A150" s="50"/>
      <c r="B150" s="50"/>
      <c r="C150" s="50"/>
      <c r="D150" s="50"/>
      <c r="E150" s="50" t="s">
        <v>177</v>
      </c>
      <c r="F150" s="50"/>
      <c r="G150" s="50"/>
      <c r="H150" s="51"/>
      <c r="I150" s="51"/>
      <c r="J150" s="51"/>
      <c r="K150" s="51"/>
      <c r="L150" s="51"/>
      <c r="M150" s="51"/>
      <c r="N150" s="51"/>
      <c r="O150" s="51"/>
      <c r="P150" s="51"/>
      <c r="Q150" s="51"/>
      <c r="R150" s="51"/>
      <c r="S150" s="51"/>
      <c r="T150" s="51"/>
      <c r="U150" s="51"/>
      <c r="V150" s="51"/>
      <c r="W150" s="51"/>
      <c r="AB150" s="86"/>
      <c r="AC150" s="86"/>
      <c r="AD150" s="86"/>
      <c r="AE150" s="86"/>
      <c r="AF150" s="86"/>
      <c r="AG150" s="86"/>
      <c r="AH150" s="87"/>
      <c r="AI150" s="87"/>
      <c r="AJ150" s="87"/>
      <c r="AK150" s="87"/>
      <c r="AL150" s="87"/>
      <c r="AM150" s="87"/>
      <c r="AN150" s="87"/>
      <c r="AO150" s="87"/>
      <c r="AP150" s="87"/>
      <c r="AQ150" s="87"/>
      <c r="AR150" s="87"/>
      <c r="AS150" s="87"/>
      <c r="AT150" s="87"/>
      <c r="AU150" s="87"/>
      <c r="AV150" s="87"/>
      <c r="AW150" s="87"/>
      <c r="AX150" s="87"/>
      <c r="AY150" s="88"/>
      <c r="AZ150" s="88"/>
      <c r="BA150" s="88"/>
      <c r="BB150" s="89"/>
    </row>
    <row r="151" spans="1:56" x14ac:dyDescent="0.3">
      <c r="A151" s="50"/>
      <c r="B151" s="50"/>
      <c r="C151" s="50"/>
      <c r="D151" s="50"/>
      <c r="E151" s="50"/>
      <c r="F151" s="50" t="s">
        <v>178</v>
      </c>
      <c r="G151" s="50"/>
      <c r="H151" s="51"/>
      <c r="I151" s="51"/>
      <c r="J151" s="51"/>
      <c r="K151" s="51"/>
      <c r="L151" s="51"/>
      <c r="M151" s="51"/>
      <c r="N151" s="51"/>
      <c r="O151" s="51"/>
      <c r="P151" s="51"/>
      <c r="Q151" s="51"/>
      <c r="R151" s="51"/>
      <c r="S151" s="51"/>
      <c r="T151" s="51"/>
      <c r="U151" s="51"/>
      <c r="V151" s="51"/>
      <c r="W151" s="51"/>
      <c r="AB151" s="86"/>
      <c r="AC151" s="86"/>
      <c r="AD151" s="86"/>
      <c r="AE151" s="86"/>
      <c r="AF151" s="86" t="s">
        <v>178</v>
      </c>
      <c r="AG151" s="86"/>
      <c r="AH151" s="87"/>
      <c r="AI151" s="87"/>
      <c r="AJ151" s="87"/>
      <c r="AK151" s="87"/>
      <c r="AL151" s="87"/>
      <c r="AM151" s="87"/>
      <c r="AN151" s="87"/>
      <c r="AO151" s="87"/>
      <c r="AP151" s="87"/>
      <c r="AQ151" s="87"/>
      <c r="AR151" s="87"/>
      <c r="AS151" s="87"/>
      <c r="AT151" s="87"/>
      <c r="AU151" s="87"/>
      <c r="AV151" s="87"/>
      <c r="AW151" s="87"/>
      <c r="AX151" s="87"/>
      <c r="AY151" s="88"/>
      <c r="AZ151" s="88"/>
      <c r="BA151" s="88"/>
      <c r="BB151" s="89"/>
    </row>
    <row r="152" spans="1:56" ht="22.2" thickBot="1" x14ac:dyDescent="0.35">
      <c r="A152" s="50"/>
      <c r="B152" s="50"/>
      <c r="C152" s="50"/>
      <c r="D152" s="50"/>
      <c r="E152" s="50"/>
      <c r="F152" s="50"/>
      <c r="G152" s="50" t="s">
        <v>179</v>
      </c>
      <c r="H152" s="52">
        <v>0</v>
      </c>
      <c r="I152" s="52">
        <v>0</v>
      </c>
      <c r="J152" s="52">
        <v>0</v>
      </c>
      <c r="K152" s="52">
        <v>0</v>
      </c>
      <c r="L152" s="52">
        <v>0</v>
      </c>
      <c r="M152" s="52">
        <v>0</v>
      </c>
      <c r="N152" s="52">
        <v>0</v>
      </c>
      <c r="O152" s="52">
        <v>0</v>
      </c>
      <c r="P152" s="52">
        <v>0</v>
      </c>
      <c r="Q152" s="52">
        <v>0</v>
      </c>
      <c r="R152" s="52">
        <v>0</v>
      </c>
      <c r="S152" s="52">
        <v>48942.34</v>
      </c>
      <c r="T152" s="52"/>
      <c r="U152" s="52">
        <f>ROUND(SUM(H152:T152),5)</f>
        <v>48942.34</v>
      </c>
      <c r="V152" s="52">
        <v>0</v>
      </c>
      <c r="W152" s="52">
        <v>0</v>
      </c>
      <c r="X152" s="68" t="s">
        <v>205</v>
      </c>
      <c r="AB152" s="86"/>
      <c r="AC152" s="86"/>
      <c r="AD152" s="86"/>
      <c r="AE152" s="86"/>
      <c r="AF152" s="86"/>
      <c r="AG152" s="86" t="s">
        <v>179</v>
      </c>
      <c r="AH152" s="90"/>
      <c r="AI152" s="90"/>
      <c r="AJ152" s="90"/>
      <c r="AK152" s="90"/>
      <c r="AL152" s="90">
        <v>0</v>
      </c>
      <c r="AM152" s="90">
        <v>0</v>
      </c>
      <c r="AN152" s="90">
        <v>0</v>
      </c>
      <c r="AO152" s="90">
        <v>0</v>
      </c>
      <c r="AP152" s="90">
        <v>0</v>
      </c>
      <c r="AQ152" s="90">
        <v>0</v>
      </c>
      <c r="AR152" s="90">
        <v>0</v>
      </c>
      <c r="AS152" s="90">
        <v>0</v>
      </c>
      <c r="AT152" s="90">
        <v>0</v>
      </c>
      <c r="AU152" s="90">
        <v>0</v>
      </c>
      <c r="AV152" s="90">
        <v>0</v>
      </c>
      <c r="AW152" s="90">
        <v>50812.91</v>
      </c>
      <c r="AX152" s="90"/>
      <c r="AY152" s="91">
        <f>ROUND(SUM(AH152:AX152),5)</f>
        <v>50812.91</v>
      </c>
      <c r="AZ152" s="91">
        <v>0</v>
      </c>
      <c r="BA152" s="91">
        <v>0</v>
      </c>
      <c r="BB152" s="92" t="s">
        <v>205</v>
      </c>
    </row>
    <row r="153" spans="1:56" x14ac:dyDescent="0.3">
      <c r="A153" s="50"/>
      <c r="B153" s="50"/>
      <c r="C153" s="50"/>
      <c r="D153" s="50"/>
      <c r="E153" s="50"/>
      <c r="F153" s="50" t="s">
        <v>180</v>
      </c>
      <c r="G153" s="50"/>
      <c r="H153" s="51">
        <f t="shared" ref="H153:P153" si="44">ROUND(SUM(H151:H152),5)</f>
        <v>0</v>
      </c>
      <c r="I153" s="51">
        <f t="shared" si="44"/>
        <v>0</v>
      </c>
      <c r="J153" s="51">
        <f t="shared" si="44"/>
        <v>0</v>
      </c>
      <c r="K153" s="51">
        <f t="shared" si="44"/>
        <v>0</v>
      </c>
      <c r="L153" s="51">
        <f t="shared" si="44"/>
        <v>0</v>
      </c>
      <c r="M153" s="51">
        <f t="shared" si="44"/>
        <v>0</v>
      </c>
      <c r="N153" s="51">
        <f t="shared" si="44"/>
        <v>0</v>
      </c>
      <c r="O153" s="51">
        <f t="shared" si="44"/>
        <v>0</v>
      </c>
      <c r="P153" s="51">
        <f t="shared" si="44"/>
        <v>0</v>
      </c>
      <c r="Q153" s="51">
        <f>ROUND(SUM(Q151:Q152),5)</f>
        <v>0</v>
      </c>
      <c r="R153" s="51">
        <f>ROUND(SUM(R151:R152),5)</f>
        <v>0</v>
      </c>
      <c r="S153" s="51">
        <f>ROUND(SUM(S151:S152),5)</f>
        <v>48942.34</v>
      </c>
      <c r="T153" s="51"/>
      <c r="U153" s="51">
        <f>ROUND(SUM(H153:T153),5)</f>
        <v>48942.34</v>
      </c>
      <c r="V153" s="51">
        <f>ROUND(SUM(V151:V152),5)</f>
        <v>0</v>
      </c>
      <c r="W153" s="51">
        <f>ROUND(SUM(W151:W152),5)</f>
        <v>0</v>
      </c>
      <c r="AB153" s="86"/>
      <c r="AC153" s="86"/>
      <c r="AD153" s="86"/>
      <c r="AE153" s="86"/>
      <c r="AF153" s="86" t="s">
        <v>180</v>
      </c>
      <c r="AG153" s="86"/>
      <c r="AH153" s="87"/>
      <c r="AI153" s="87"/>
      <c r="AJ153" s="87"/>
      <c r="AK153" s="87"/>
      <c r="AL153" s="87">
        <f t="shared" ref="AL153:AW153" si="45">ROUND(SUM(AL151:AL152),5)</f>
        <v>0</v>
      </c>
      <c r="AM153" s="87">
        <f t="shared" si="45"/>
        <v>0</v>
      </c>
      <c r="AN153" s="87">
        <f t="shared" si="45"/>
        <v>0</v>
      </c>
      <c r="AO153" s="87">
        <f t="shared" si="45"/>
        <v>0</v>
      </c>
      <c r="AP153" s="87">
        <f t="shared" si="45"/>
        <v>0</v>
      </c>
      <c r="AQ153" s="87">
        <f t="shared" si="45"/>
        <v>0</v>
      </c>
      <c r="AR153" s="87">
        <f t="shared" si="45"/>
        <v>0</v>
      </c>
      <c r="AS153" s="87">
        <f t="shared" si="45"/>
        <v>0</v>
      </c>
      <c r="AT153" s="87">
        <f t="shared" si="45"/>
        <v>0</v>
      </c>
      <c r="AU153" s="87">
        <f t="shared" si="45"/>
        <v>0</v>
      </c>
      <c r="AV153" s="87">
        <f t="shared" si="45"/>
        <v>0</v>
      </c>
      <c r="AW153" s="87">
        <f t="shared" si="45"/>
        <v>50812.91</v>
      </c>
      <c r="AX153" s="87"/>
      <c r="AY153" s="88">
        <f>ROUND(SUM(AH153:AX153),5)</f>
        <v>50812.91</v>
      </c>
      <c r="AZ153" s="88">
        <f>ROUND(SUM(AZ151:AZ152),5)</f>
        <v>0</v>
      </c>
      <c r="BA153" s="88">
        <f>ROUND(SUM(BA151:BA152),5)</f>
        <v>0</v>
      </c>
      <c r="BB153" s="89"/>
    </row>
    <row r="154" spans="1:56" ht="15" thickBot="1" x14ac:dyDescent="0.35">
      <c r="A154" s="50"/>
      <c r="B154" s="50"/>
      <c r="C154" s="50"/>
      <c r="D154" s="50"/>
      <c r="E154" s="50"/>
      <c r="F154" s="50" t="s">
        <v>181</v>
      </c>
      <c r="G154" s="50"/>
      <c r="H154" s="52">
        <v>342.65</v>
      </c>
      <c r="I154" s="52">
        <v>153.12</v>
      </c>
      <c r="J154" s="52">
        <v>0</v>
      </c>
      <c r="K154" s="52">
        <v>299.86</v>
      </c>
      <c r="L154" s="52">
        <v>306.24</v>
      </c>
      <c r="M154" s="52">
        <v>542.07000000000005</v>
      </c>
      <c r="N154" s="52">
        <v>-96.88</v>
      </c>
      <c r="O154" s="52">
        <v>0</v>
      </c>
      <c r="P154" s="52">
        <v>243.32</v>
      </c>
      <c r="Q154" s="52">
        <v>606.1</v>
      </c>
      <c r="R154" s="52">
        <v>-5</v>
      </c>
      <c r="S154" s="52">
        <v>400</v>
      </c>
      <c r="T154" s="52"/>
      <c r="U154" s="52">
        <f>ROUND(SUM(H154:T154),5)</f>
        <v>2791.48</v>
      </c>
      <c r="V154" s="52">
        <v>4000</v>
      </c>
      <c r="W154" s="52">
        <v>4000</v>
      </c>
      <c r="AA154" s="56"/>
      <c r="AB154" s="86"/>
      <c r="AC154" s="86"/>
      <c r="AD154" s="86"/>
      <c r="AE154" s="86" t="s">
        <v>182</v>
      </c>
      <c r="AF154" s="86" t="s">
        <v>181</v>
      </c>
      <c r="AG154" s="86"/>
      <c r="AH154" s="90"/>
      <c r="AI154" s="90"/>
      <c r="AJ154" s="90"/>
      <c r="AK154" s="90"/>
      <c r="AL154" s="90">
        <v>298.70999999999998</v>
      </c>
      <c r="AM154" s="90">
        <v>172.26</v>
      </c>
      <c r="AN154" s="90">
        <v>191.39</v>
      </c>
      <c r="AO154" s="90">
        <v>0</v>
      </c>
      <c r="AP154" s="90">
        <v>0</v>
      </c>
      <c r="AQ154" s="90">
        <v>689.18</v>
      </c>
      <c r="AR154" s="90">
        <v>484.71</v>
      </c>
      <c r="AS154" s="90">
        <v>0</v>
      </c>
      <c r="AT154" s="90">
        <v>357.28</v>
      </c>
      <c r="AU154" s="90">
        <v>185.02</v>
      </c>
      <c r="AV154" s="90">
        <v>241.33</v>
      </c>
      <c r="AW154" s="90">
        <v>416.65</v>
      </c>
      <c r="AX154" s="90"/>
      <c r="AY154" s="91">
        <f>ROUND(SUM(AH154:AX154),5)</f>
        <v>3036.53</v>
      </c>
      <c r="AZ154" s="91">
        <v>4000</v>
      </c>
      <c r="BA154" s="91">
        <v>4000</v>
      </c>
      <c r="BB154" s="92"/>
    </row>
    <row r="155" spans="1:56" x14ac:dyDescent="0.3">
      <c r="A155" s="50"/>
      <c r="B155" s="50"/>
      <c r="C155" s="50"/>
      <c r="D155" s="50"/>
      <c r="E155" s="50" t="s">
        <v>182</v>
      </c>
      <c r="F155" s="50"/>
      <c r="G155" s="50"/>
      <c r="H155" s="51">
        <f t="shared" ref="H155:P155" si="46">ROUND(H150+SUM(H153:H154),5)</f>
        <v>342.65</v>
      </c>
      <c r="I155" s="51">
        <f t="shared" si="46"/>
        <v>153.12</v>
      </c>
      <c r="J155" s="51">
        <f t="shared" si="46"/>
        <v>0</v>
      </c>
      <c r="K155" s="51">
        <f t="shared" si="46"/>
        <v>299.86</v>
      </c>
      <c r="L155" s="51">
        <f t="shared" si="46"/>
        <v>306.24</v>
      </c>
      <c r="M155" s="51">
        <f t="shared" si="46"/>
        <v>542.07000000000005</v>
      </c>
      <c r="N155" s="51">
        <f t="shared" si="46"/>
        <v>-96.88</v>
      </c>
      <c r="O155" s="51">
        <f t="shared" si="46"/>
        <v>0</v>
      </c>
      <c r="P155" s="51">
        <f t="shared" si="46"/>
        <v>243.32</v>
      </c>
      <c r="Q155" s="51">
        <f>ROUND(Q150+SUM(Q153:Q154),5)</f>
        <v>606.1</v>
      </c>
      <c r="R155" s="51">
        <f>ROUND(R150+SUM(R153:R154),5)</f>
        <v>-5</v>
      </c>
      <c r="S155" s="51">
        <f>ROUND(S150+SUM(S153:S154),5)</f>
        <v>49342.34</v>
      </c>
      <c r="T155" s="51"/>
      <c r="U155" s="51">
        <f>ROUND(SUM(H155:T155),5)</f>
        <v>51733.82</v>
      </c>
      <c r="V155" s="51">
        <f>ROUND(V150+SUM(V153:V154),5)</f>
        <v>4000</v>
      </c>
      <c r="W155" s="51">
        <f>ROUND(W150+SUM(W153:W154),5)</f>
        <v>4000</v>
      </c>
      <c r="AB155" s="86"/>
      <c r="AC155" s="86"/>
      <c r="AD155" s="86"/>
      <c r="AE155" s="86" t="s">
        <v>183</v>
      </c>
      <c r="AF155" s="86"/>
      <c r="AG155" s="86"/>
      <c r="AH155" s="87"/>
      <c r="AI155" s="87"/>
      <c r="AJ155" s="87"/>
      <c r="AK155" s="87"/>
      <c r="AL155" s="87">
        <f t="shared" ref="AL155:AW155" si="47">ROUND(AL150+SUM(AL153:AL154),5)</f>
        <v>298.70999999999998</v>
      </c>
      <c r="AM155" s="87">
        <f t="shared" si="47"/>
        <v>172.26</v>
      </c>
      <c r="AN155" s="87">
        <f t="shared" si="47"/>
        <v>191.39</v>
      </c>
      <c r="AO155" s="87">
        <f t="shared" si="47"/>
        <v>0</v>
      </c>
      <c r="AP155" s="87">
        <f t="shared" si="47"/>
        <v>0</v>
      </c>
      <c r="AQ155" s="87">
        <f t="shared" si="47"/>
        <v>689.18</v>
      </c>
      <c r="AR155" s="87">
        <f t="shared" si="47"/>
        <v>484.71</v>
      </c>
      <c r="AS155" s="87">
        <f t="shared" si="47"/>
        <v>0</v>
      </c>
      <c r="AT155" s="87">
        <f t="shared" si="47"/>
        <v>357.28</v>
      </c>
      <c r="AU155" s="87">
        <f t="shared" si="47"/>
        <v>185.02</v>
      </c>
      <c r="AV155" s="87">
        <f t="shared" si="47"/>
        <v>241.33</v>
      </c>
      <c r="AW155" s="87">
        <f t="shared" si="47"/>
        <v>51229.56</v>
      </c>
      <c r="AX155" s="87"/>
      <c r="AY155" s="88">
        <f>ROUND(SUM(AH155:AX155),5)</f>
        <v>53849.440000000002</v>
      </c>
      <c r="AZ155" s="88">
        <f>ROUND(AZ150+SUM(AZ153:AZ154),5)</f>
        <v>4000</v>
      </c>
      <c r="BA155" s="88">
        <f>ROUND(BA150+SUM(BA153:BA154),5)</f>
        <v>4000</v>
      </c>
      <c r="BB155" s="89"/>
      <c r="BC155" s="56"/>
    </row>
    <row r="156" spans="1:56" x14ac:dyDescent="0.3">
      <c r="A156" s="50"/>
      <c r="B156" s="50"/>
      <c r="C156" s="50"/>
      <c r="D156" s="50"/>
      <c r="E156" s="50" t="s">
        <v>183</v>
      </c>
      <c r="F156" s="50"/>
      <c r="G156" s="50"/>
      <c r="H156" s="51"/>
      <c r="I156" s="51"/>
      <c r="J156" s="51"/>
      <c r="K156" s="51"/>
      <c r="L156" s="51"/>
      <c r="M156" s="51"/>
      <c r="N156" s="51"/>
      <c r="O156" s="51"/>
      <c r="P156" s="51"/>
      <c r="Q156" s="51"/>
      <c r="R156" s="51"/>
      <c r="S156" s="51"/>
      <c r="T156" s="51"/>
      <c r="U156" s="51"/>
      <c r="V156" s="51"/>
      <c r="W156" s="51"/>
      <c r="AB156" s="86"/>
      <c r="AC156" s="86"/>
      <c r="AD156" s="86"/>
      <c r="AE156" s="86"/>
      <c r="AF156" s="86"/>
      <c r="AG156" s="86"/>
      <c r="AH156" s="87"/>
      <c r="AI156" s="87"/>
      <c r="AJ156" s="87"/>
      <c r="AK156" s="87"/>
      <c r="AL156" s="87"/>
      <c r="AM156" s="87"/>
      <c r="AN156" s="87"/>
      <c r="AO156" s="87"/>
      <c r="AP156" s="87"/>
      <c r="AQ156" s="87"/>
      <c r="AR156" s="87"/>
      <c r="AS156" s="87"/>
      <c r="AT156" s="87"/>
      <c r="AU156" s="87"/>
      <c r="AV156" s="87"/>
      <c r="AW156" s="87"/>
      <c r="AX156" s="87"/>
      <c r="AY156" s="88"/>
      <c r="AZ156" s="88"/>
      <c r="BA156" s="88"/>
      <c r="BB156" s="89"/>
      <c r="BD156" s="56"/>
    </row>
    <row r="157" spans="1:56" x14ac:dyDescent="0.3">
      <c r="A157" s="50"/>
      <c r="B157" s="50"/>
      <c r="C157" s="50"/>
      <c r="D157" s="50"/>
      <c r="E157" s="50"/>
      <c r="F157" s="50" t="s">
        <v>184</v>
      </c>
      <c r="G157" s="50"/>
      <c r="H157" s="51"/>
      <c r="I157" s="51"/>
      <c r="J157" s="51"/>
      <c r="K157" s="51"/>
      <c r="L157" s="51"/>
      <c r="M157" s="51"/>
      <c r="N157" s="51"/>
      <c r="O157" s="51"/>
      <c r="P157" s="51"/>
      <c r="Q157" s="51"/>
      <c r="R157" s="51"/>
      <c r="S157" s="51"/>
      <c r="T157" s="51"/>
      <c r="U157" s="51"/>
      <c r="V157" s="51"/>
      <c r="W157" s="51"/>
      <c r="AB157" s="86"/>
      <c r="AC157" s="86"/>
      <c r="AD157" s="86"/>
      <c r="AE157" s="86"/>
      <c r="AF157" s="86" t="s">
        <v>184</v>
      </c>
      <c r="AG157" s="86"/>
      <c r="AH157" s="87"/>
      <c r="AI157" s="87"/>
      <c r="AJ157" s="87"/>
      <c r="AK157" s="87"/>
      <c r="AL157" s="87"/>
      <c r="AM157" s="87"/>
      <c r="AN157" s="87"/>
      <c r="AO157" s="87"/>
      <c r="AP157" s="87"/>
      <c r="AQ157" s="87"/>
      <c r="AR157" s="87"/>
      <c r="AS157" s="87"/>
      <c r="AT157" s="87"/>
      <c r="AU157" s="87"/>
      <c r="AV157" s="87"/>
      <c r="AW157" s="87"/>
      <c r="AX157" s="87"/>
      <c r="AY157" s="88"/>
      <c r="AZ157" s="88"/>
      <c r="BA157" s="88"/>
      <c r="BB157" s="89"/>
    </row>
    <row r="158" spans="1:56" x14ac:dyDescent="0.3">
      <c r="A158" s="50"/>
      <c r="B158" s="50"/>
      <c r="C158" s="50"/>
      <c r="D158" s="50"/>
      <c r="E158" s="50"/>
      <c r="F158" s="50"/>
      <c r="G158" s="50" t="s">
        <v>201</v>
      </c>
      <c r="H158" s="51">
        <v>0</v>
      </c>
      <c r="I158" s="51">
        <v>0</v>
      </c>
      <c r="J158" s="51">
        <v>0</v>
      </c>
      <c r="K158" s="51">
        <v>0</v>
      </c>
      <c r="L158" s="51">
        <v>0</v>
      </c>
      <c r="M158" s="51">
        <v>0</v>
      </c>
      <c r="N158" s="51">
        <v>0</v>
      </c>
      <c r="O158" s="51">
        <v>0</v>
      </c>
      <c r="P158" s="51">
        <v>0</v>
      </c>
      <c r="Q158" s="51">
        <v>0</v>
      </c>
      <c r="R158" s="51">
        <v>0</v>
      </c>
      <c r="S158" s="51">
        <v>0</v>
      </c>
      <c r="T158" s="51"/>
      <c r="U158" s="51">
        <v>0</v>
      </c>
      <c r="V158" s="67">
        <v>100000</v>
      </c>
      <c r="W158" s="67">
        <v>100000</v>
      </c>
      <c r="AB158" s="86"/>
      <c r="AC158" s="86"/>
      <c r="AD158" s="86"/>
      <c r="AE158" s="86"/>
      <c r="AF158" s="86"/>
      <c r="AG158" s="86" t="s">
        <v>201</v>
      </c>
      <c r="AH158" s="87"/>
      <c r="AI158" s="87"/>
      <c r="AJ158" s="87"/>
      <c r="AK158" s="87"/>
      <c r="AL158" s="87">
        <v>0</v>
      </c>
      <c r="AM158" s="87">
        <v>0</v>
      </c>
      <c r="AN158" s="87">
        <v>0</v>
      </c>
      <c r="AO158" s="87">
        <v>0</v>
      </c>
      <c r="AP158" s="87">
        <v>0</v>
      </c>
      <c r="AQ158" s="87">
        <v>0</v>
      </c>
      <c r="AR158" s="87">
        <v>0</v>
      </c>
      <c r="AS158" s="87">
        <v>0</v>
      </c>
      <c r="AT158" s="87">
        <v>0</v>
      </c>
      <c r="AU158" s="87">
        <v>0</v>
      </c>
      <c r="AV158" s="87">
        <v>0</v>
      </c>
      <c r="AW158" s="87">
        <v>0</v>
      </c>
      <c r="AX158" s="87"/>
      <c r="AY158" s="88">
        <f>ROUND(SUM(AH158:AX158),5)</f>
        <v>0</v>
      </c>
      <c r="AZ158" s="88">
        <v>100000</v>
      </c>
      <c r="BA158" s="88">
        <v>100000</v>
      </c>
      <c r="BB158" s="89"/>
    </row>
    <row r="159" spans="1:56" x14ac:dyDescent="0.3">
      <c r="A159" s="50"/>
      <c r="B159" s="50"/>
      <c r="C159" s="50"/>
      <c r="D159" s="50"/>
      <c r="E159" s="50"/>
      <c r="F159" s="50"/>
      <c r="G159" s="50" t="s">
        <v>202</v>
      </c>
      <c r="H159" s="51">
        <v>0</v>
      </c>
      <c r="I159" s="51">
        <v>0</v>
      </c>
      <c r="J159" s="51">
        <v>0</v>
      </c>
      <c r="K159" s="51">
        <v>0</v>
      </c>
      <c r="L159" s="51">
        <v>0</v>
      </c>
      <c r="M159" s="51">
        <v>0</v>
      </c>
      <c r="N159" s="51">
        <v>0</v>
      </c>
      <c r="O159" s="51">
        <v>1900</v>
      </c>
      <c r="P159" s="51">
        <v>0</v>
      </c>
      <c r="Q159" s="51">
        <v>0</v>
      </c>
      <c r="R159" s="51">
        <v>0</v>
      </c>
      <c r="S159" s="51">
        <v>0</v>
      </c>
      <c r="T159" s="51"/>
      <c r="U159" s="51">
        <f>ROUND(SUM(H159:T159),5)</f>
        <v>1900</v>
      </c>
      <c r="V159" s="67">
        <v>6000</v>
      </c>
      <c r="W159" s="67">
        <v>6000</v>
      </c>
      <c r="AB159" s="86"/>
      <c r="AC159" s="86"/>
      <c r="AD159" s="86"/>
      <c r="AE159" s="86"/>
      <c r="AF159" s="86"/>
      <c r="AG159" s="86" t="s">
        <v>202</v>
      </c>
      <c r="AH159" s="87"/>
      <c r="AI159" s="87"/>
      <c r="AJ159" s="87"/>
      <c r="AK159" s="87"/>
      <c r="AL159" s="87">
        <v>0</v>
      </c>
      <c r="AM159" s="87">
        <v>0</v>
      </c>
      <c r="AN159" s="87">
        <v>0</v>
      </c>
      <c r="AO159" s="87">
        <v>0</v>
      </c>
      <c r="AP159" s="87">
        <v>0</v>
      </c>
      <c r="AQ159" s="87">
        <v>0</v>
      </c>
      <c r="AR159" s="87">
        <v>0</v>
      </c>
      <c r="AS159" s="87">
        <v>0</v>
      </c>
      <c r="AT159" s="87">
        <v>0</v>
      </c>
      <c r="AU159" s="87">
        <v>0</v>
      </c>
      <c r="AV159" s="87">
        <v>0</v>
      </c>
      <c r="AW159" s="87">
        <v>0</v>
      </c>
      <c r="AX159" s="87"/>
      <c r="AY159" s="88">
        <f>ROUND(SUM(AH159:AX159),5)</f>
        <v>0</v>
      </c>
      <c r="AZ159" s="88">
        <v>6000</v>
      </c>
      <c r="BA159" s="88">
        <v>6000</v>
      </c>
      <c r="BB159" s="89"/>
    </row>
    <row r="160" spans="1:56" x14ac:dyDescent="0.3">
      <c r="A160" s="50"/>
      <c r="B160" s="50"/>
      <c r="C160" s="50"/>
      <c r="D160" s="50"/>
      <c r="E160" s="50"/>
      <c r="F160" s="50"/>
      <c r="G160" s="50" t="s">
        <v>185</v>
      </c>
      <c r="H160" s="51">
        <v>0</v>
      </c>
      <c r="I160" s="51">
        <v>0</v>
      </c>
      <c r="J160" s="51">
        <v>0</v>
      </c>
      <c r="K160" s="51">
        <v>0</v>
      </c>
      <c r="L160" s="51">
        <v>0</v>
      </c>
      <c r="M160" s="51">
        <v>0</v>
      </c>
      <c r="N160" s="51">
        <v>0</v>
      </c>
      <c r="O160" s="51">
        <v>0</v>
      </c>
      <c r="P160" s="51">
        <v>0</v>
      </c>
      <c r="Q160" s="51">
        <v>0</v>
      </c>
      <c r="R160" s="51">
        <v>0</v>
      </c>
      <c r="S160" s="51">
        <v>0</v>
      </c>
      <c r="T160" s="51"/>
      <c r="U160" s="51">
        <v>0</v>
      </c>
      <c r="V160" s="67">
        <v>7500</v>
      </c>
      <c r="W160" s="67">
        <v>7500</v>
      </c>
      <c r="AB160" s="86"/>
      <c r="AC160" s="86"/>
      <c r="AD160" s="86"/>
      <c r="AE160" s="86"/>
      <c r="AF160" s="86"/>
      <c r="AG160" s="86" t="s">
        <v>185</v>
      </c>
      <c r="AH160" s="87"/>
      <c r="AI160" s="87"/>
      <c r="AJ160" s="87"/>
      <c r="AK160" s="87"/>
      <c r="AL160" s="87">
        <v>0</v>
      </c>
      <c r="AM160" s="87">
        <v>0</v>
      </c>
      <c r="AN160" s="87">
        <v>0</v>
      </c>
      <c r="AO160" s="87">
        <v>0</v>
      </c>
      <c r="AP160" s="87">
        <v>0</v>
      </c>
      <c r="AQ160" s="87">
        <v>0</v>
      </c>
      <c r="AR160" s="87">
        <v>0</v>
      </c>
      <c r="AS160" s="87">
        <v>0</v>
      </c>
      <c r="AT160" s="87">
        <v>0</v>
      </c>
      <c r="AU160" s="87">
        <v>0</v>
      </c>
      <c r="AV160" s="87">
        <v>0</v>
      </c>
      <c r="AW160" s="87">
        <v>0</v>
      </c>
      <c r="AX160" s="87"/>
      <c r="AY160" s="88">
        <f>ROUND(SUM(AH160:AX160),5)</f>
        <v>0</v>
      </c>
      <c r="AZ160" s="88">
        <v>7500</v>
      </c>
      <c r="BA160" s="88">
        <v>7500</v>
      </c>
      <c r="BB160" s="89"/>
    </row>
    <row r="161" spans="1:56" ht="15" thickBot="1" x14ac:dyDescent="0.35">
      <c r="A161" s="50"/>
      <c r="B161" s="50"/>
      <c r="C161" s="50"/>
      <c r="D161" s="50"/>
      <c r="E161" s="50"/>
      <c r="F161" s="50"/>
      <c r="G161" s="50" t="s">
        <v>239</v>
      </c>
      <c r="H161" s="51">
        <v>0</v>
      </c>
      <c r="I161" s="51">
        <v>0</v>
      </c>
      <c r="J161" s="51">
        <v>0</v>
      </c>
      <c r="K161" s="51">
        <v>0</v>
      </c>
      <c r="L161" s="51">
        <v>0</v>
      </c>
      <c r="M161" s="51">
        <v>0</v>
      </c>
      <c r="N161" s="51">
        <v>0</v>
      </c>
      <c r="O161" s="51">
        <v>0</v>
      </c>
      <c r="P161" s="51">
        <v>0</v>
      </c>
      <c r="Q161" s="51">
        <v>0</v>
      </c>
      <c r="R161" s="51">
        <v>0</v>
      </c>
      <c r="S161" s="51">
        <v>0</v>
      </c>
      <c r="T161" s="51"/>
      <c r="U161" s="51">
        <v>0</v>
      </c>
      <c r="V161" s="67">
        <v>6000</v>
      </c>
      <c r="W161" s="67">
        <v>6000</v>
      </c>
      <c r="AB161" s="86"/>
      <c r="AC161" s="86"/>
      <c r="AD161" s="86"/>
      <c r="AE161" s="86"/>
      <c r="AF161" s="86"/>
      <c r="AG161" s="86" t="s">
        <v>239</v>
      </c>
      <c r="AH161" s="87"/>
      <c r="AI161" s="87"/>
      <c r="AJ161" s="87"/>
      <c r="AK161" s="87"/>
      <c r="AL161" s="87">
        <v>0</v>
      </c>
      <c r="AM161" s="87">
        <v>0</v>
      </c>
      <c r="AN161" s="87">
        <v>0</v>
      </c>
      <c r="AO161" s="87">
        <v>0</v>
      </c>
      <c r="AP161" s="87">
        <v>0</v>
      </c>
      <c r="AQ161" s="87">
        <v>0</v>
      </c>
      <c r="AR161" s="87">
        <v>0</v>
      </c>
      <c r="AS161" s="87">
        <v>0</v>
      </c>
      <c r="AT161" s="87">
        <v>0</v>
      </c>
      <c r="AU161" s="87">
        <v>0</v>
      </c>
      <c r="AV161" s="87">
        <v>0</v>
      </c>
      <c r="AW161" s="87">
        <v>0</v>
      </c>
      <c r="AX161" s="87"/>
      <c r="AY161" s="88">
        <f>ROUND(SUM(AH161:AX161),5)</f>
        <v>0</v>
      </c>
      <c r="AZ161" s="88">
        <v>6000</v>
      </c>
      <c r="BA161" s="88">
        <v>6000</v>
      </c>
      <c r="BB161" s="89"/>
    </row>
    <row r="162" spans="1:56" ht="15" thickBot="1" x14ac:dyDescent="0.35">
      <c r="A162" s="50"/>
      <c r="B162" s="50"/>
      <c r="C162" s="50"/>
      <c r="D162" s="50"/>
      <c r="E162" s="50"/>
      <c r="F162" s="50" t="s">
        <v>186</v>
      </c>
      <c r="G162" s="50"/>
      <c r="H162" s="53">
        <f t="shared" ref="H162:S162" si="48">ROUND(SUM(H157:H159),5)</f>
        <v>0</v>
      </c>
      <c r="I162" s="53">
        <f t="shared" si="48"/>
        <v>0</v>
      </c>
      <c r="J162" s="53">
        <f t="shared" si="48"/>
        <v>0</v>
      </c>
      <c r="K162" s="53">
        <f t="shared" si="48"/>
        <v>0</v>
      </c>
      <c r="L162" s="53">
        <f t="shared" si="48"/>
        <v>0</v>
      </c>
      <c r="M162" s="53">
        <f t="shared" si="48"/>
        <v>0</v>
      </c>
      <c r="N162" s="53">
        <f t="shared" si="48"/>
        <v>0</v>
      </c>
      <c r="O162" s="53">
        <f t="shared" si="48"/>
        <v>1900</v>
      </c>
      <c r="P162" s="53">
        <f t="shared" si="48"/>
        <v>0</v>
      </c>
      <c r="Q162" s="53">
        <f t="shared" si="48"/>
        <v>0</v>
      </c>
      <c r="R162" s="53">
        <f t="shared" si="48"/>
        <v>0</v>
      </c>
      <c r="S162" s="53">
        <f t="shared" si="48"/>
        <v>0</v>
      </c>
      <c r="T162" s="53"/>
      <c r="U162" s="53">
        <f>ROUND(SUM(H162:T162),5)</f>
        <v>1900</v>
      </c>
      <c r="V162" s="53">
        <f>ROUND(SUM(V157:V161),5)</f>
        <v>119500</v>
      </c>
      <c r="W162" s="53">
        <f>ROUND(SUM(W157:W161),5)</f>
        <v>119500</v>
      </c>
      <c r="AB162" s="86"/>
      <c r="AC162" s="86"/>
      <c r="AD162" s="86"/>
      <c r="AE162" s="86"/>
      <c r="AF162" s="86" t="s">
        <v>186</v>
      </c>
      <c r="AG162" s="86"/>
      <c r="AH162" s="93"/>
      <c r="AI162" s="93"/>
      <c r="AJ162" s="93"/>
      <c r="AK162" s="93"/>
      <c r="AL162" s="93">
        <f t="shared" ref="AL162:AW162" si="49">ROUND(SUM(AL157:AL161),5)</f>
        <v>0</v>
      </c>
      <c r="AM162" s="93">
        <f t="shared" si="49"/>
        <v>0</v>
      </c>
      <c r="AN162" s="93">
        <f t="shared" si="49"/>
        <v>0</v>
      </c>
      <c r="AO162" s="93">
        <f t="shared" si="49"/>
        <v>0</v>
      </c>
      <c r="AP162" s="93">
        <f t="shared" si="49"/>
        <v>0</v>
      </c>
      <c r="AQ162" s="93">
        <f t="shared" si="49"/>
        <v>0</v>
      </c>
      <c r="AR162" s="93">
        <f t="shared" si="49"/>
        <v>0</v>
      </c>
      <c r="AS162" s="93">
        <f t="shared" si="49"/>
        <v>0</v>
      </c>
      <c r="AT162" s="93">
        <f t="shared" si="49"/>
        <v>0</v>
      </c>
      <c r="AU162" s="93">
        <f t="shared" si="49"/>
        <v>0</v>
      </c>
      <c r="AV162" s="93">
        <f t="shared" si="49"/>
        <v>0</v>
      </c>
      <c r="AW162" s="93">
        <f t="shared" si="49"/>
        <v>0</v>
      </c>
      <c r="AX162" s="93"/>
      <c r="AY162" s="94">
        <f>ROUND(SUM(AH162:AX162),5)</f>
        <v>0</v>
      </c>
      <c r="AZ162" s="94">
        <f>ROUND(SUM(AZ157:AZ161),5)</f>
        <v>119500</v>
      </c>
      <c r="BA162" s="94">
        <f>ROUND(SUM(BA157:BA161),5)</f>
        <v>119500</v>
      </c>
      <c r="BB162" s="95"/>
    </row>
    <row r="163" spans="1:56" x14ac:dyDescent="0.3">
      <c r="A163" s="50"/>
      <c r="B163" s="50"/>
      <c r="C163" s="50"/>
      <c r="D163" s="50"/>
      <c r="E163" s="50"/>
      <c r="F163" s="50" t="s">
        <v>187</v>
      </c>
      <c r="G163" s="50"/>
      <c r="H163" s="51"/>
      <c r="I163" s="51"/>
      <c r="J163" s="51"/>
      <c r="K163" s="51"/>
      <c r="L163" s="51"/>
      <c r="M163" s="51"/>
      <c r="N163" s="51"/>
      <c r="O163" s="51"/>
      <c r="P163" s="51"/>
      <c r="Q163" s="51"/>
      <c r="R163" s="51"/>
      <c r="S163" s="51"/>
      <c r="T163" s="51"/>
      <c r="U163" s="51"/>
      <c r="V163" s="51"/>
      <c r="W163" s="51"/>
      <c r="AB163" s="86"/>
      <c r="AC163" s="86"/>
      <c r="AD163" s="86"/>
      <c r="AE163" s="86"/>
      <c r="AF163" s="86" t="s">
        <v>187</v>
      </c>
      <c r="AG163" s="86"/>
      <c r="AH163" s="87"/>
      <c r="AI163" s="87"/>
      <c r="AJ163" s="87"/>
      <c r="AK163" s="87"/>
      <c r="AL163" s="87"/>
      <c r="AM163" s="87"/>
      <c r="AN163" s="87"/>
      <c r="AO163" s="87"/>
      <c r="AP163" s="87"/>
      <c r="AQ163" s="87"/>
      <c r="AR163" s="87"/>
      <c r="AS163" s="87"/>
      <c r="AT163" s="87"/>
      <c r="AU163" s="87"/>
      <c r="AV163" s="87"/>
      <c r="AW163" s="87"/>
      <c r="AX163" s="87"/>
      <c r="AY163" s="88"/>
      <c r="AZ163" s="88"/>
      <c r="BA163" s="88"/>
      <c r="BB163" s="89"/>
    </row>
    <row r="164" spans="1:56" ht="15" thickBot="1" x14ac:dyDescent="0.35">
      <c r="A164" s="50"/>
      <c r="B164" s="50"/>
      <c r="C164" s="50"/>
      <c r="D164" s="50"/>
      <c r="E164" s="50"/>
      <c r="F164" s="50"/>
      <c r="G164" s="50" t="s">
        <v>188</v>
      </c>
      <c r="H164" s="52">
        <v>6935</v>
      </c>
      <c r="I164" s="52">
        <v>1357</v>
      </c>
      <c r="J164" s="52">
        <v>0</v>
      </c>
      <c r="K164" s="52">
        <v>0</v>
      </c>
      <c r="L164" s="52">
        <v>0</v>
      </c>
      <c r="M164" s="52">
        <v>0</v>
      </c>
      <c r="N164" s="52">
        <v>0</v>
      </c>
      <c r="O164" s="52">
        <v>0</v>
      </c>
      <c r="P164" s="52">
        <v>355787.84</v>
      </c>
      <c r="Q164" s="52">
        <v>9486.81</v>
      </c>
      <c r="R164" s="52">
        <v>261853.25</v>
      </c>
      <c r="S164" s="52">
        <v>350000</v>
      </c>
      <c r="T164" s="52"/>
      <c r="U164" s="52">
        <f>ROUND(SUM(H164:T164),5)</f>
        <v>985419.9</v>
      </c>
      <c r="V164" s="52">
        <v>150000</v>
      </c>
      <c r="W164" s="114">
        <v>1600000</v>
      </c>
      <c r="X164" s="68" t="s">
        <v>298</v>
      </c>
      <c r="AB164" s="86"/>
      <c r="AC164" s="86"/>
      <c r="AD164" s="86"/>
      <c r="AE164" s="86"/>
      <c r="AF164" s="86"/>
      <c r="AG164" s="86" t="s">
        <v>188</v>
      </c>
      <c r="AH164" s="90"/>
      <c r="AI164" s="90"/>
      <c r="AJ164" s="90"/>
      <c r="AK164" s="90"/>
      <c r="AL164" s="90">
        <v>0</v>
      </c>
      <c r="AM164" s="90">
        <v>0</v>
      </c>
      <c r="AN164" s="90">
        <v>5379.38</v>
      </c>
      <c r="AO164" s="90">
        <v>0</v>
      </c>
      <c r="AP164" s="90">
        <v>0</v>
      </c>
      <c r="AQ164" s="90">
        <v>0</v>
      </c>
      <c r="AR164" s="90">
        <v>0</v>
      </c>
      <c r="AS164" s="90">
        <v>0</v>
      </c>
      <c r="AT164" s="90">
        <v>0</v>
      </c>
      <c r="AU164" s="90">
        <v>0</v>
      </c>
      <c r="AV164" s="90">
        <v>0</v>
      </c>
      <c r="AW164" s="90">
        <v>0</v>
      </c>
      <c r="AX164" s="90"/>
      <c r="AY164" s="91">
        <f>ROUND(SUM(AH164:AX164),5)</f>
        <v>5379.38</v>
      </c>
      <c r="AZ164" s="91">
        <v>150000</v>
      </c>
      <c r="BA164" s="91">
        <v>150000</v>
      </c>
      <c r="BB164" s="92" t="s">
        <v>251</v>
      </c>
    </row>
    <row r="165" spans="1:56" x14ac:dyDescent="0.3">
      <c r="A165" s="50"/>
      <c r="B165" s="50"/>
      <c r="C165" s="50"/>
      <c r="D165" s="50"/>
      <c r="E165" s="50"/>
      <c r="F165" s="50" t="s">
        <v>189</v>
      </c>
      <c r="G165" s="50"/>
      <c r="H165" s="51">
        <f t="shared" ref="H165:P165" si="50">ROUND(SUM(H163:H164),5)</f>
        <v>6935</v>
      </c>
      <c r="I165" s="51">
        <f t="shared" si="50"/>
        <v>1357</v>
      </c>
      <c r="J165" s="51">
        <f t="shared" si="50"/>
        <v>0</v>
      </c>
      <c r="K165" s="51">
        <f t="shared" si="50"/>
        <v>0</v>
      </c>
      <c r="L165" s="51">
        <f t="shared" si="50"/>
        <v>0</v>
      </c>
      <c r="M165" s="51">
        <f t="shared" si="50"/>
        <v>0</v>
      </c>
      <c r="N165" s="51">
        <f t="shared" si="50"/>
        <v>0</v>
      </c>
      <c r="O165" s="51">
        <f t="shared" si="50"/>
        <v>0</v>
      </c>
      <c r="P165" s="51">
        <f t="shared" si="50"/>
        <v>355787.84</v>
      </c>
      <c r="Q165" s="51">
        <f>ROUND(SUM(Q163:Q164),5)</f>
        <v>9486.81</v>
      </c>
      <c r="R165" s="51">
        <f>ROUND(SUM(R163:R164),5)</f>
        <v>261853.25</v>
      </c>
      <c r="S165" s="51">
        <f>ROUND(SUM(S163:S164),5)</f>
        <v>350000</v>
      </c>
      <c r="T165" s="51"/>
      <c r="U165" s="51">
        <f>ROUND(SUM(H165:T165),5)</f>
        <v>985419.9</v>
      </c>
      <c r="V165" s="51">
        <f>ROUND(SUM(V163:V164),5)</f>
        <v>150000</v>
      </c>
      <c r="W165" s="51">
        <f>ROUND(SUM(W163:W164),5)</f>
        <v>1600000</v>
      </c>
      <c r="AB165" s="86"/>
      <c r="AC165" s="86"/>
      <c r="AD165" s="86"/>
      <c r="AE165" s="86"/>
      <c r="AF165" s="86" t="s">
        <v>189</v>
      </c>
      <c r="AG165" s="86"/>
      <c r="AH165" s="87"/>
      <c r="AI165" s="87"/>
      <c r="AJ165" s="87"/>
      <c r="AK165" s="87"/>
      <c r="AL165" s="87">
        <f t="shared" ref="AL165:AW165" si="51">ROUND(SUM(AL163:AL164),5)</f>
        <v>0</v>
      </c>
      <c r="AM165" s="87">
        <f t="shared" si="51"/>
        <v>0</v>
      </c>
      <c r="AN165" s="87">
        <f t="shared" si="51"/>
        <v>5379.38</v>
      </c>
      <c r="AO165" s="87">
        <f t="shared" si="51"/>
        <v>0</v>
      </c>
      <c r="AP165" s="87">
        <f t="shared" si="51"/>
        <v>0</v>
      </c>
      <c r="AQ165" s="87">
        <f t="shared" si="51"/>
        <v>0</v>
      </c>
      <c r="AR165" s="87">
        <f t="shared" si="51"/>
        <v>0</v>
      </c>
      <c r="AS165" s="87">
        <f t="shared" si="51"/>
        <v>0</v>
      </c>
      <c r="AT165" s="87">
        <f t="shared" si="51"/>
        <v>0</v>
      </c>
      <c r="AU165" s="87">
        <f t="shared" si="51"/>
        <v>0</v>
      </c>
      <c r="AV165" s="87">
        <f t="shared" si="51"/>
        <v>0</v>
      </c>
      <c r="AW165" s="87">
        <f t="shared" si="51"/>
        <v>0</v>
      </c>
      <c r="AX165" s="87"/>
      <c r="AY165" s="88">
        <f>ROUND(SUM(AH165:AX165),5)</f>
        <v>5379.38</v>
      </c>
      <c r="AZ165" s="88">
        <f>ROUND(SUM(AZ163:AZ164),5)</f>
        <v>150000</v>
      </c>
      <c r="BA165" s="88">
        <f>ROUND(SUM(BA163:BA164),5)</f>
        <v>150000</v>
      </c>
      <c r="BB165" s="89"/>
    </row>
    <row r="166" spans="1:56" x14ac:dyDescent="0.3">
      <c r="A166" s="50"/>
      <c r="B166" s="50"/>
      <c r="C166" s="50"/>
      <c r="D166" s="50"/>
      <c r="E166" s="50"/>
      <c r="F166" s="50" t="s">
        <v>190</v>
      </c>
      <c r="G166" s="50"/>
      <c r="H166" s="51"/>
      <c r="I166" s="51"/>
      <c r="J166" s="51"/>
      <c r="K166" s="51"/>
      <c r="L166" s="51"/>
      <c r="M166" s="51"/>
      <c r="N166" s="51"/>
      <c r="O166" s="51"/>
      <c r="P166" s="51"/>
      <c r="Q166" s="51"/>
      <c r="R166" s="51"/>
      <c r="S166" s="51"/>
      <c r="T166" s="51"/>
      <c r="U166" s="51"/>
      <c r="V166" s="51"/>
      <c r="W166" s="51"/>
      <c r="AB166" s="86"/>
      <c r="AC166" s="86"/>
      <c r="AD166" s="86"/>
      <c r="AE166" s="86"/>
      <c r="AF166" s="86" t="s">
        <v>190</v>
      </c>
      <c r="AG166" s="86"/>
      <c r="AH166" s="87"/>
      <c r="AI166" s="87"/>
      <c r="AJ166" s="87"/>
      <c r="AK166" s="87"/>
      <c r="AL166" s="87"/>
      <c r="AM166" s="87"/>
      <c r="AN166" s="87"/>
      <c r="AO166" s="87"/>
      <c r="AP166" s="87"/>
      <c r="AQ166" s="87"/>
      <c r="AR166" s="87"/>
      <c r="AS166" s="87"/>
      <c r="AT166" s="87"/>
      <c r="AU166" s="87"/>
      <c r="AV166" s="87"/>
      <c r="AW166" s="87"/>
      <c r="AX166" s="87"/>
      <c r="AY166" s="88"/>
      <c r="AZ166" s="88"/>
      <c r="BA166" s="88"/>
      <c r="BB166" s="89"/>
    </row>
    <row r="167" spans="1:56" x14ac:dyDescent="0.3">
      <c r="A167" s="50"/>
      <c r="B167" s="50"/>
      <c r="C167" s="50"/>
      <c r="D167" s="50"/>
      <c r="E167" s="50"/>
      <c r="F167" s="50"/>
      <c r="G167" s="50" t="s">
        <v>191</v>
      </c>
      <c r="H167" s="51">
        <v>0</v>
      </c>
      <c r="I167" s="51">
        <v>0</v>
      </c>
      <c r="J167" s="51">
        <v>0</v>
      </c>
      <c r="K167" s="51">
        <v>0</v>
      </c>
      <c r="L167" s="51">
        <v>0</v>
      </c>
      <c r="M167" s="51">
        <v>0</v>
      </c>
      <c r="N167" s="51">
        <v>0</v>
      </c>
      <c r="O167" s="51">
        <v>0</v>
      </c>
      <c r="P167" s="51">
        <v>0</v>
      </c>
      <c r="Q167" s="51">
        <v>0</v>
      </c>
      <c r="R167" s="51">
        <v>0</v>
      </c>
      <c r="S167" s="51">
        <v>0</v>
      </c>
      <c r="T167" s="51"/>
      <c r="U167" s="51">
        <v>0</v>
      </c>
      <c r="V167" s="67">
        <v>60000</v>
      </c>
      <c r="W167" s="67">
        <v>60000</v>
      </c>
      <c r="AB167" s="86"/>
      <c r="AC167" s="86"/>
      <c r="AD167" s="86"/>
      <c r="AE167" s="86"/>
      <c r="AF167" s="86"/>
      <c r="AG167" s="86" t="s">
        <v>191</v>
      </c>
      <c r="AH167" s="87"/>
      <c r="AI167" s="87"/>
      <c r="AJ167" s="87"/>
      <c r="AK167" s="87"/>
      <c r="AL167" s="87">
        <v>0</v>
      </c>
      <c r="AM167" s="87">
        <v>0</v>
      </c>
      <c r="AN167" s="87">
        <v>0</v>
      </c>
      <c r="AO167" s="87">
        <v>0</v>
      </c>
      <c r="AP167" s="87">
        <v>0</v>
      </c>
      <c r="AQ167" s="87">
        <v>0</v>
      </c>
      <c r="AR167" s="87">
        <v>0</v>
      </c>
      <c r="AS167" s="87">
        <v>0</v>
      </c>
      <c r="AT167" s="87">
        <v>9137.67</v>
      </c>
      <c r="AU167" s="87">
        <v>0</v>
      </c>
      <c r="AV167" s="87">
        <v>0</v>
      </c>
      <c r="AW167" s="87">
        <v>0</v>
      </c>
      <c r="AX167" s="87"/>
      <c r="AY167" s="88">
        <f>ROUND(SUM(AH167:AX167),5)</f>
        <v>9137.67</v>
      </c>
      <c r="AZ167" s="88">
        <v>75000</v>
      </c>
      <c r="BA167" s="88">
        <v>60000</v>
      </c>
      <c r="BB167" s="89"/>
    </row>
    <row r="168" spans="1:56" x14ac:dyDescent="0.3">
      <c r="A168" s="50"/>
      <c r="B168" s="50"/>
      <c r="C168" s="50"/>
      <c r="D168" s="50"/>
      <c r="E168" s="50"/>
      <c r="F168" s="50"/>
      <c r="G168" s="50" t="s">
        <v>192</v>
      </c>
      <c r="H168" s="51">
        <v>0</v>
      </c>
      <c r="I168" s="51">
        <v>0</v>
      </c>
      <c r="J168" s="51">
        <v>0</v>
      </c>
      <c r="K168" s="51">
        <v>0</v>
      </c>
      <c r="L168" s="51">
        <v>0</v>
      </c>
      <c r="M168" s="51">
        <v>0</v>
      </c>
      <c r="N168" s="51">
        <v>0</v>
      </c>
      <c r="O168" s="51">
        <v>0</v>
      </c>
      <c r="P168" s="51">
        <v>0</v>
      </c>
      <c r="Q168" s="51">
        <v>0</v>
      </c>
      <c r="R168" s="51">
        <v>0</v>
      </c>
      <c r="S168" s="51">
        <v>0</v>
      </c>
      <c r="T168" s="51"/>
      <c r="U168" s="51">
        <v>0</v>
      </c>
      <c r="V168" s="67">
        <v>17000</v>
      </c>
      <c r="W168" s="67">
        <v>17000</v>
      </c>
      <c r="AB168" s="86"/>
      <c r="AC168" s="86"/>
      <c r="AD168" s="86"/>
      <c r="AE168" s="86"/>
      <c r="AF168" s="86"/>
      <c r="AG168" s="86" t="s">
        <v>192</v>
      </c>
      <c r="AH168" s="87"/>
      <c r="AI168" s="87"/>
      <c r="AJ168" s="87"/>
      <c r="AK168" s="87"/>
      <c r="AL168" s="87">
        <v>0</v>
      </c>
      <c r="AM168" s="87">
        <v>0</v>
      </c>
      <c r="AN168" s="87">
        <v>0</v>
      </c>
      <c r="AO168" s="87">
        <v>0</v>
      </c>
      <c r="AP168" s="87">
        <v>0</v>
      </c>
      <c r="AQ168" s="87">
        <v>0</v>
      </c>
      <c r="AR168" s="87">
        <v>0</v>
      </c>
      <c r="AS168" s="87">
        <v>2082.06</v>
      </c>
      <c r="AT168" s="87">
        <v>0</v>
      </c>
      <c r="AU168" s="87">
        <v>0</v>
      </c>
      <c r="AV168" s="87">
        <v>0</v>
      </c>
      <c r="AW168" s="87">
        <v>0</v>
      </c>
      <c r="AX168" s="87"/>
      <c r="AY168" s="88">
        <f>ROUND(SUM(AH168:AX168),5)</f>
        <v>2082.06</v>
      </c>
      <c r="AZ168" s="88">
        <v>17000</v>
      </c>
      <c r="BA168" s="88">
        <v>17000</v>
      </c>
      <c r="BB168" s="89"/>
    </row>
    <row r="169" spans="1:56" ht="22.2" thickBot="1" x14ac:dyDescent="0.35">
      <c r="A169" s="50"/>
      <c r="B169" s="50"/>
      <c r="C169" s="50"/>
      <c r="D169" s="50"/>
      <c r="E169" s="50"/>
      <c r="F169" s="50"/>
      <c r="G169" s="50" t="s">
        <v>193</v>
      </c>
      <c r="H169" s="52">
        <v>0</v>
      </c>
      <c r="I169" s="52">
        <v>1945</v>
      </c>
      <c r="J169" s="52">
        <v>0</v>
      </c>
      <c r="K169" s="52">
        <v>0</v>
      </c>
      <c r="L169" s="52">
        <v>0</v>
      </c>
      <c r="M169" s="52">
        <v>0</v>
      </c>
      <c r="N169" s="52">
        <v>0</v>
      </c>
      <c r="O169" s="52">
        <v>0</v>
      </c>
      <c r="P169" s="52">
        <v>0</v>
      </c>
      <c r="Q169" s="52">
        <v>0</v>
      </c>
      <c r="R169" s="52">
        <v>0</v>
      </c>
      <c r="S169" s="52">
        <v>0</v>
      </c>
      <c r="T169" s="52"/>
      <c r="U169" s="52">
        <f>ROUND(SUM(H169:T169),5)</f>
        <v>1945</v>
      </c>
      <c r="V169" s="52">
        <v>5000</v>
      </c>
      <c r="W169" s="52">
        <v>6000</v>
      </c>
      <c r="X169" s="68" t="s">
        <v>253</v>
      </c>
      <c r="AA169" s="56"/>
      <c r="AB169" s="86"/>
      <c r="AC169" s="86"/>
      <c r="AD169" s="86"/>
      <c r="AE169" s="86"/>
      <c r="AF169" s="86"/>
      <c r="AG169" s="86" t="s">
        <v>193</v>
      </c>
      <c r="AH169" s="90"/>
      <c r="AI169" s="90"/>
      <c r="AJ169" s="90"/>
      <c r="AK169" s="90"/>
      <c r="AL169" s="90">
        <v>0</v>
      </c>
      <c r="AM169" s="90">
        <v>1945</v>
      </c>
      <c r="AN169" s="90">
        <v>0</v>
      </c>
      <c r="AO169" s="90">
        <v>0</v>
      </c>
      <c r="AP169" s="90">
        <v>0</v>
      </c>
      <c r="AQ169" s="90">
        <v>0</v>
      </c>
      <c r="AR169" s="90">
        <v>0</v>
      </c>
      <c r="AS169" s="90">
        <v>0</v>
      </c>
      <c r="AT169" s="90">
        <v>0</v>
      </c>
      <c r="AU169" s="90">
        <v>0</v>
      </c>
      <c r="AV169" s="90">
        <v>0</v>
      </c>
      <c r="AW169" s="90">
        <v>0</v>
      </c>
      <c r="AX169" s="90"/>
      <c r="AY169" s="91">
        <f>ROUND(SUM(AH169:AX169),5)</f>
        <v>1945</v>
      </c>
      <c r="AZ169" s="91">
        <v>5000</v>
      </c>
      <c r="BA169" s="91">
        <v>5000</v>
      </c>
      <c r="BB169" s="92" t="s">
        <v>253</v>
      </c>
    </row>
    <row r="170" spans="1:56" ht="15" thickBot="1" x14ac:dyDescent="0.35">
      <c r="A170" s="50"/>
      <c r="B170" s="50"/>
      <c r="C170" s="50"/>
      <c r="D170" s="50"/>
      <c r="E170" s="50"/>
      <c r="F170" s="50" t="s">
        <v>194</v>
      </c>
      <c r="G170" s="50"/>
      <c r="H170" s="52">
        <f t="shared" ref="H170:S170" si="52">ROUND(SUM(H166:H169),5)</f>
        <v>0</v>
      </c>
      <c r="I170" s="52">
        <f t="shared" si="52"/>
        <v>1945</v>
      </c>
      <c r="J170" s="52">
        <f t="shared" si="52"/>
        <v>0</v>
      </c>
      <c r="K170" s="52">
        <f t="shared" si="52"/>
        <v>0</v>
      </c>
      <c r="L170" s="52">
        <f t="shared" si="52"/>
        <v>0</v>
      </c>
      <c r="M170" s="52">
        <f t="shared" si="52"/>
        <v>0</v>
      </c>
      <c r="N170" s="52">
        <f t="shared" si="52"/>
        <v>0</v>
      </c>
      <c r="O170" s="52">
        <f t="shared" si="52"/>
        <v>0</v>
      </c>
      <c r="P170" s="52">
        <f t="shared" si="52"/>
        <v>0</v>
      </c>
      <c r="Q170" s="52">
        <f t="shared" si="52"/>
        <v>0</v>
      </c>
      <c r="R170" s="52">
        <f t="shared" si="52"/>
        <v>0</v>
      </c>
      <c r="S170" s="52">
        <f t="shared" si="52"/>
        <v>0</v>
      </c>
      <c r="T170" s="52"/>
      <c r="U170" s="52">
        <f>ROUND(SUM(H170:T170),5)</f>
        <v>1945</v>
      </c>
      <c r="V170" s="52">
        <f>ROUND(SUM(V166:V169),5)</f>
        <v>82000</v>
      </c>
      <c r="W170" s="114">
        <f>ROUND(SUM(W166:W169),5)</f>
        <v>83000</v>
      </c>
      <c r="AB170" s="86"/>
      <c r="AC170" s="86"/>
      <c r="AD170" s="86"/>
      <c r="AE170" s="86" t="s">
        <v>195</v>
      </c>
      <c r="AF170" s="86" t="s">
        <v>194</v>
      </c>
      <c r="AG170" s="86"/>
      <c r="AH170" s="90"/>
      <c r="AI170" s="90"/>
      <c r="AJ170" s="90"/>
      <c r="AK170" s="90"/>
      <c r="AL170" s="90">
        <f t="shared" ref="AL170:AW170" si="53">ROUND(SUM(AL166:AL169),5)</f>
        <v>0</v>
      </c>
      <c r="AM170" s="90">
        <f t="shared" si="53"/>
        <v>1945</v>
      </c>
      <c r="AN170" s="90">
        <f t="shared" si="53"/>
        <v>0</v>
      </c>
      <c r="AO170" s="90">
        <f t="shared" si="53"/>
        <v>0</v>
      </c>
      <c r="AP170" s="90">
        <f t="shared" si="53"/>
        <v>0</v>
      </c>
      <c r="AQ170" s="90">
        <f t="shared" si="53"/>
        <v>0</v>
      </c>
      <c r="AR170" s="90">
        <f t="shared" si="53"/>
        <v>0</v>
      </c>
      <c r="AS170" s="90">
        <f t="shared" si="53"/>
        <v>2082.06</v>
      </c>
      <c r="AT170" s="90">
        <f t="shared" si="53"/>
        <v>9137.67</v>
      </c>
      <c r="AU170" s="90">
        <f t="shared" si="53"/>
        <v>0</v>
      </c>
      <c r="AV170" s="90">
        <f t="shared" si="53"/>
        <v>0</v>
      </c>
      <c r="AW170" s="90">
        <f t="shared" si="53"/>
        <v>0</v>
      </c>
      <c r="AX170" s="90"/>
      <c r="AY170" s="91">
        <f>ROUND(SUM(AH170:AX170),5)</f>
        <v>13164.73</v>
      </c>
      <c r="AZ170" s="91">
        <f>ROUND(SUM(AZ166:AZ169),5)</f>
        <v>97000</v>
      </c>
      <c r="BA170" s="91">
        <f>ROUND(SUM(BA166:BA169),5)</f>
        <v>82000</v>
      </c>
      <c r="BB170" s="92"/>
    </row>
    <row r="171" spans="1:56" ht="15" thickBot="1" x14ac:dyDescent="0.35">
      <c r="A171" s="50"/>
      <c r="B171" s="50"/>
      <c r="C171" s="50"/>
      <c r="D171" s="50"/>
      <c r="E171" s="50" t="s">
        <v>195</v>
      </c>
      <c r="F171" s="50"/>
      <c r="G171" s="50"/>
      <c r="H171" s="54">
        <f t="shared" ref="H171:S171" si="54">ROUND(H156+H162+H165+H170,5)</f>
        <v>6935</v>
      </c>
      <c r="I171" s="54">
        <f t="shared" si="54"/>
        <v>3302</v>
      </c>
      <c r="J171" s="54">
        <f t="shared" si="54"/>
        <v>0</v>
      </c>
      <c r="K171" s="54">
        <f t="shared" si="54"/>
        <v>0</v>
      </c>
      <c r="L171" s="54">
        <f t="shared" si="54"/>
        <v>0</v>
      </c>
      <c r="M171" s="54">
        <f t="shared" si="54"/>
        <v>0</v>
      </c>
      <c r="N171" s="54">
        <f t="shared" si="54"/>
        <v>0</v>
      </c>
      <c r="O171" s="54">
        <f t="shared" si="54"/>
        <v>1900</v>
      </c>
      <c r="P171" s="54">
        <f t="shared" si="54"/>
        <v>355787.84</v>
      </c>
      <c r="Q171" s="54">
        <f t="shared" si="54"/>
        <v>9486.81</v>
      </c>
      <c r="R171" s="54">
        <f t="shared" si="54"/>
        <v>261853.25</v>
      </c>
      <c r="S171" s="54">
        <f t="shared" si="54"/>
        <v>350000</v>
      </c>
      <c r="T171" s="54"/>
      <c r="U171" s="54">
        <f>ROUND(SUM(H171:T171),5)</f>
        <v>989264.9</v>
      </c>
      <c r="V171" s="54">
        <f>ROUND(V156+V162+V165+V170,5)</f>
        <v>351500</v>
      </c>
      <c r="W171" s="54">
        <f>ROUND(W156+W162+W165+W170,5)</f>
        <v>1802500</v>
      </c>
      <c r="AB171" s="86"/>
      <c r="AC171" s="86"/>
      <c r="AD171" s="86"/>
      <c r="AE171" s="86"/>
      <c r="AF171" s="86"/>
      <c r="AG171" s="86"/>
      <c r="AH171" s="87"/>
      <c r="AI171" s="87"/>
      <c r="AJ171" s="87"/>
      <c r="AK171" s="87"/>
      <c r="AL171" s="99">
        <f t="shared" ref="AL171:AW171" si="55">ROUND(AL156+AL162+AL165+AL170,5)</f>
        <v>0</v>
      </c>
      <c r="AM171" s="99">
        <f t="shared" si="55"/>
        <v>1945</v>
      </c>
      <c r="AN171" s="99">
        <f t="shared" si="55"/>
        <v>5379.38</v>
      </c>
      <c r="AO171" s="99">
        <f t="shared" si="55"/>
        <v>0</v>
      </c>
      <c r="AP171" s="99">
        <f t="shared" si="55"/>
        <v>0</v>
      </c>
      <c r="AQ171" s="99">
        <f t="shared" si="55"/>
        <v>0</v>
      </c>
      <c r="AR171" s="99">
        <f t="shared" si="55"/>
        <v>0</v>
      </c>
      <c r="AS171" s="99">
        <f t="shared" si="55"/>
        <v>2082.06</v>
      </c>
      <c r="AT171" s="99">
        <f t="shared" si="55"/>
        <v>9137.67</v>
      </c>
      <c r="AU171" s="99">
        <f t="shared" si="55"/>
        <v>0</v>
      </c>
      <c r="AV171" s="99">
        <f t="shared" si="55"/>
        <v>0</v>
      </c>
      <c r="AW171" s="99">
        <f t="shared" si="55"/>
        <v>0</v>
      </c>
      <c r="AX171" s="99"/>
      <c r="AY171" s="100">
        <f>ROUND(SUM(AH171:AX171),5)</f>
        <v>18544.11</v>
      </c>
      <c r="AZ171" s="100">
        <f>ROUND(AZ156+AZ162+AZ165+AZ170,5)</f>
        <v>366500</v>
      </c>
      <c r="BA171" s="100">
        <f>ROUND(BA156+BA162+BA165+BA170,5)</f>
        <v>351500</v>
      </c>
      <c r="BB171" s="101"/>
    </row>
    <row r="172" spans="1:56" s="56" customFormat="1" ht="22.2" thickBot="1" x14ac:dyDescent="0.35">
      <c r="A172" s="50"/>
      <c r="B172" s="50"/>
      <c r="C172" s="50"/>
      <c r="D172" s="50"/>
      <c r="E172" s="50" t="s">
        <v>203</v>
      </c>
      <c r="F172" s="50"/>
      <c r="G172" s="50"/>
      <c r="H172" s="54"/>
      <c r="I172" s="54"/>
      <c r="J172" s="54"/>
      <c r="K172" s="54"/>
      <c r="L172" s="54"/>
      <c r="M172" s="54"/>
      <c r="N172" s="54"/>
      <c r="O172" s="54"/>
      <c r="P172" s="54"/>
      <c r="Q172" s="54"/>
      <c r="R172" s="54"/>
      <c r="S172" s="54"/>
      <c r="T172" s="54"/>
      <c r="U172" s="54">
        <v>0</v>
      </c>
      <c r="V172" s="54">
        <v>226000</v>
      </c>
      <c r="W172" s="54">
        <f>W24+W20</f>
        <v>145100</v>
      </c>
      <c r="X172" s="68" t="s">
        <v>209</v>
      </c>
      <c r="Y172"/>
      <c r="Z172"/>
      <c r="AA172"/>
      <c r="AB172" s="86"/>
      <c r="AC172" s="86"/>
      <c r="AD172" s="86"/>
      <c r="AE172" s="86"/>
      <c r="AF172" s="86"/>
      <c r="AG172" s="86"/>
      <c r="AH172" s="87"/>
      <c r="AI172" s="87"/>
      <c r="AJ172" s="87"/>
      <c r="AK172" s="87"/>
      <c r="AL172" s="99"/>
      <c r="AM172" s="99"/>
      <c r="AN172" s="99"/>
      <c r="AO172" s="99"/>
      <c r="AP172" s="99"/>
      <c r="AQ172" s="99"/>
      <c r="AR172" s="99"/>
      <c r="AS172" s="99"/>
      <c r="AT172" s="99"/>
      <c r="AU172" s="99"/>
      <c r="AV172" s="99"/>
      <c r="AW172" s="99"/>
      <c r="AX172" s="99"/>
      <c r="AY172" s="86"/>
      <c r="AZ172" s="86"/>
      <c r="BA172" s="86"/>
      <c r="BB172" s="86"/>
      <c r="BC172"/>
      <c r="BD172"/>
    </row>
    <row r="173" spans="1:56" s="56" customFormat="1" ht="15" thickBot="1" x14ac:dyDescent="0.35">
      <c r="A173" s="50"/>
      <c r="B173" s="50"/>
      <c r="C173" s="50"/>
      <c r="D173" s="50"/>
      <c r="E173" s="50" t="s">
        <v>299</v>
      </c>
      <c r="F173" s="50"/>
      <c r="G173" s="50"/>
      <c r="H173" s="54"/>
      <c r="I173" s="54"/>
      <c r="J173" s="54"/>
      <c r="K173" s="54"/>
      <c r="L173" s="54"/>
      <c r="M173" s="54"/>
      <c r="N173" s="54"/>
      <c r="O173" s="54"/>
      <c r="P173" s="54"/>
      <c r="Q173" s="54"/>
      <c r="R173" s="54"/>
      <c r="S173" s="54"/>
      <c r="T173" s="54"/>
      <c r="U173" s="54">
        <v>0</v>
      </c>
      <c r="V173" s="54">
        <v>0</v>
      </c>
      <c r="W173" s="54">
        <v>-1802500</v>
      </c>
      <c r="X173" s="68" t="s">
        <v>300</v>
      </c>
      <c r="Y173"/>
      <c r="Z173"/>
      <c r="AA173"/>
      <c r="AB173" s="86"/>
      <c r="AC173" s="86"/>
      <c r="AD173" s="86"/>
      <c r="AE173" s="86"/>
      <c r="AF173" s="86"/>
      <c r="AG173" s="86"/>
      <c r="AH173" s="87"/>
      <c r="AI173" s="87"/>
      <c r="AJ173" s="87"/>
      <c r="AK173" s="87"/>
      <c r="AL173" s="99"/>
      <c r="AM173" s="99"/>
      <c r="AN173" s="99"/>
      <c r="AO173" s="99"/>
      <c r="AP173" s="99"/>
      <c r="AQ173" s="99"/>
      <c r="AR173" s="99"/>
      <c r="AS173" s="99"/>
      <c r="AT173" s="99"/>
      <c r="AU173" s="99"/>
      <c r="AV173" s="99"/>
      <c r="AW173" s="99"/>
      <c r="AX173" s="99"/>
      <c r="AY173" s="86"/>
      <c r="AZ173" s="86"/>
      <c r="BA173" s="86"/>
      <c r="BB173" s="86"/>
      <c r="BC173"/>
      <c r="BD173"/>
    </row>
    <row r="174" spans="1:56" ht="22.2" thickBot="1" x14ac:dyDescent="0.35">
      <c r="A174" s="50"/>
      <c r="B174" s="50"/>
      <c r="C174" s="50"/>
      <c r="D174" s="50"/>
      <c r="E174" s="50" t="s">
        <v>204</v>
      </c>
      <c r="F174" s="50"/>
      <c r="G174" s="50"/>
      <c r="H174" s="54"/>
      <c r="I174" s="54"/>
      <c r="J174" s="54"/>
      <c r="K174" s="54"/>
      <c r="L174" s="54"/>
      <c r="M174" s="54"/>
      <c r="N174" s="54"/>
      <c r="O174" s="54"/>
      <c r="P174" s="54"/>
      <c r="Q174" s="54"/>
      <c r="R174" s="54"/>
      <c r="S174" s="54"/>
      <c r="T174" s="54"/>
      <c r="U174" s="54">
        <v>0</v>
      </c>
      <c r="V174" s="54">
        <v>245659</v>
      </c>
      <c r="W174" s="116">
        <f>313950+7500</f>
        <v>321450</v>
      </c>
      <c r="X174" s="68" t="s">
        <v>301</v>
      </c>
      <c r="Y174" s="56"/>
      <c r="Z174" s="56"/>
      <c r="AB174" s="86"/>
      <c r="AC174" s="86"/>
      <c r="AD174" s="86"/>
      <c r="AE174" s="86"/>
      <c r="AF174" s="86"/>
      <c r="AG174" s="86"/>
      <c r="AH174" s="87"/>
      <c r="AI174" s="87"/>
      <c r="AJ174" s="87"/>
      <c r="AK174" s="87"/>
      <c r="AL174" s="99"/>
      <c r="AM174" s="99"/>
      <c r="AN174" s="99"/>
      <c r="AO174" s="99"/>
      <c r="AP174" s="99"/>
      <c r="AQ174" s="99"/>
      <c r="AR174" s="99"/>
      <c r="AS174" s="99"/>
      <c r="AT174" s="99"/>
      <c r="AU174" s="99"/>
      <c r="AV174" s="99"/>
      <c r="AW174" s="99"/>
      <c r="AX174" s="99"/>
      <c r="AY174" s="86"/>
      <c r="AZ174" s="86"/>
      <c r="BA174" s="86"/>
      <c r="BB174" s="86"/>
    </row>
    <row r="175" spans="1:56" ht="15" thickBot="1" x14ac:dyDescent="0.35">
      <c r="A175" s="50"/>
      <c r="B175" s="50"/>
      <c r="C175" s="50"/>
      <c r="D175" s="50" t="s">
        <v>5</v>
      </c>
      <c r="E175" s="50"/>
      <c r="F175" s="50"/>
      <c r="G175" s="50"/>
      <c r="H175" s="53">
        <f t="shared" ref="H175:S175" si="56">ROUND(H40+H71+H149+H155+H171,5)</f>
        <v>40629.21</v>
      </c>
      <c r="I175" s="53">
        <f t="shared" si="56"/>
        <v>42211.89</v>
      </c>
      <c r="J175" s="53">
        <f t="shared" si="56"/>
        <v>35255.99</v>
      </c>
      <c r="K175" s="53">
        <f t="shared" si="56"/>
        <v>58915.23</v>
      </c>
      <c r="L175" s="53">
        <f t="shared" si="56"/>
        <v>38223.08</v>
      </c>
      <c r="M175" s="53">
        <f t="shared" si="56"/>
        <v>55599.54</v>
      </c>
      <c r="N175" s="53">
        <f t="shared" si="56"/>
        <v>57824.7</v>
      </c>
      <c r="O175" s="53">
        <f t="shared" si="56"/>
        <v>44586.239999999998</v>
      </c>
      <c r="P175" s="53">
        <f t="shared" si="56"/>
        <v>393348.6</v>
      </c>
      <c r="Q175" s="53">
        <f t="shared" si="56"/>
        <v>58195.67</v>
      </c>
      <c r="R175" s="53">
        <f t="shared" si="56"/>
        <v>299439.25</v>
      </c>
      <c r="S175" s="53">
        <f t="shared" si="56"/>
        <v>455414.61</v>
      </c>
      <c r="T175" s="53"/>
      <c r="U175" s="53">
        <f>ROUND(SUM(H175:T175),5)</f>
        <v>1579644.01</v>
      </c>
      <c r="V175" s="53">
        <f>ROUND(V40+V71+V149+V155+V171,5)+V172+V174</f>
        <v>1552500</v>
      </c>
      <c r="W175" s="53">
        <f>ROUND(W40+W71+W149+W155+W171,5)+W172+W174+W173</f>
        <v>1198500</v>
      </c>
      <c r="AB175" s="86"/>
      <c r="AC175" s="86"/>
      <c r="AD175" s="86"/>
      <c r="AE175" s="86"/>
      <c r="AF175" s="86"/>
      <c r="AG175" s="86"/>
      <c r="AH175" s="87"/>
      <c r="AI175" s="87"/>
      <c r="AJ175" s="87"/>
      <c r="AK175" s="87"/>
      <c r="AL175" s="99"/>
      <c r="AM175" s="99"/>
      <c r="AN175" s="99"/>
      <c r="AO175" s="99"/>
      <c r="AP175" s="99"/>
      <c r="AQ175" s="99"/>
      <c r="AR175" s="99"/>
      <c r="AS175" s="99"/>
      <c r="AT175" s="99"/>
      <c r="AU175" s="99"/>
      <c r="AV175" s="99"/>
      <c r="AW175" s="99"/>
      <c r="AX175" s="99"/>
      <c r="AY175" s="86"/>
      <c r="AZ175" s="86"/>
      <c r="BA175" s="86"/>
      <c r="BB175" s="86"/>
    </row>
    <row r="176" spans="1:56" x14ac:dyDescent="0.3">
      <c r="A176" s="50"/>
      <c r="B176" s="50" t="s">
        <v>6</v>
      </c>
      <c r="C176" s="50"/>
      <c r="D176" s="50"/>
      <c r="E176" s="50"/>
      <c r="F176" s="50"/>
      <c r="G176" s="50"/>
      <c r="H176" s="51">
        <f t="shared" ref="H176:S176" si="57">ROUND(H2+H39-H175,5)</f>
        <v>20645.93</v>
      </c>
      <c r="I176" s="51">
        <f t="shared" si="57"/>
        <v>-21134.85</v>
      </c>
      <c r="J176" s="51">
        <f t="shared" si="57"/>
        <v>51003.360000000001</v>
      </c>
      <c r="K176" s="51">
        <f t="shared" si="57"/>
        <v>26647.89</v>
      </c>
      <c r="L176" s="51">
        <f t="shared" si="57"/>
        <v>-11791.18</v>
      </c>
      <c r="M176" s="51">
        <f t="shared" si="57"/>
        <v>242069.91</v>
      </c>
      <c r="N176" s="51">
        <f t="shared" si="57"/>
        <v>160957.59</v>
      </c>
      <c r="O176" s="51">
        <f t="shared" si="57"/>
        <v>15114.64</v>
      </c>
      <c r="P176" s="51">
        <f t="shared" si="57"/>
        <v>-318923.76</v>
      </c>
      <c r="Q176" s="51">
        <f t="shared" si="57"/>
        <v>46415.09</v>
      </c>
      <c r="R176" s="51">
        <f t="shared" si="57"/>
        <v>-23874.639999999999</v>
      </c>
      <c r="S176" s="51">
        <f t="shared" si="57"/>
        <v>-411762.25</v>
      </c>
      <c r="T176" s="51"/>
      <c r="U176" s="51">
        <f>ROUND(SUM(H176:T176),5)</f>
        <v>-224632.27</v>
      </c>
      <c r="V176" s="51">
        <f>ROUND(V2+V39-V175,5)</f>
        <v>-351500</v>
      </c>
      <c r="W176" s="51">
        <f>ROUND(W2+W39-W175,5)</f>
        <v>0</v>
      </c>
      <c r="AB176" s="86"/>
      <c r="AC176" s="86"/>
      <c r="AD176" s="86"/>
      <c r="AE176" s="86" t="s">
        <v>203</v>
      </c>
      <c r="AF176" s="86"/>
      <c r="AG176" s="86"/>
      <c r="AH176" s="87"/>
      <c r="AI176" s="87"/>
      <c r="AJ176" s="87"/>
      <c r="AK176" s="87"/>
      <c r="AL176" s="99"/>
      <c r="AM176" s="99"/>
      <c r="AN176" s="99"/>
      <c r="AO176" s="99"/>
      <c r="AP176" s="99"/>
      <c r="AQ176" s="99"/>
      <c r="AR176" s="99"/>
      <c r="AS176" s="99"/>
      <c r="AT176" s="99"/>
      <c r="AU176" s="99"/>
      <c r="AV176" s="99"/>
      <c r="AW176" s="99"/>
      <c r="AX176" s="99"/>
      <c r="AY176" s="86"/>
      <c r="AZ176" s="86"/>
      <c r="BA176" s="86"/>
      <c r="BB176" s="86"/>
    </row>
    <row r="177" spans="1:54" ht="17.399999999999999" customHeight="1" thickBot="1" x14ac:dyDescent="0.35">
      <c r="A177" s="50"/>
      <c r="B177" s="50" t="s">
        <v>7</v>
      </c>
      <c r="C177" s="50"/>
      <c r="D177" s="50"/>
      <c r="E177" s="50"/>
      <c r="F177" s="50"/>
      <c r="G177" s="50"/>
      <c r="H177" s="51"/>
      <c r="I177" s="51"/>
      <c r="J177" s="51"/>
      <c r="K177" s="51"/>
      <c r="L177" s="51"/>
      <c r="M177" s="51"/>
      <c r="N177" s="51"/>
      <c r="O177" s="51"/>
      <c r="P177" s="51"/>
      <c r="Q177" s="51"/>
      <c r="R177" s="51"/>
      <c r="S177" s="51"/>
      <c r="T177" s="51"/>
      <c r="U177" s="51"/>
      <c r="V177" s="51"/>
      <c r="W177" s="51"/>
      <c r="AB177" s="86"/>
      <c r="AC177" s="86"/>
      <c r="AD177" s="86"/>
      <c r="AE177" s="86" t="s">
        <v>204</v>
      </c>
      <c r="AF177" s="86"/>
      <c r="AG177" s="86"/>
      <c r="AH177" s="87"/>
      <c r="AI177" s="87"/>
      <c r="AJ177" s="87"/>
      <c r="AK177" s="87"/>
      <c r="AL177" s="102">
        <v>0</v>
      </c>
      <c r="AM177" s="102">
        <v>0</v>
      </c>
      <c r="AN177" s="102">
        <v>0</v>
      </c>
      <c r="AO177" s="102">
        <v>0</v>
      </c>
      <c r="AP177" s="102">
        <v>0</v>
      </c>
      <c r="AQ177" s="102">
        <v>0</v>
      </c>
      <c r="AR177" s="102">
        <v>0</v>
      </c>
      <c r="AS177" s="102">
        <v>0</v>
      </c>
      <c r="AT177" s="102">
        <v>0</v>
      </c>
      <c r="AU177" s="102">
        <v>0</v>
      </c>
      <c r="AV177" s="102">
        <v>0</v>
      </c>
      <c r="AW177" s="102">
        <v>0</v>
      </c>
      <c r="AX177" s="102"/>
      <c r="AY177" s="103">
        <v>0</v>
      </c>
      <c r="AZ177" s="103">
        <v>177000</v>
      </c>
      <c r="BA177" s="103">
        <f>BA17+BA18+BA24+BA20</f>
        <v>226000</v>
      </c>
      <c r="BB177" s="104" t="s">
        <v>209</v>
      </c>
    </row>
    <row r="178" spans="1:54" ht="25.8" customHeight="1" thickBot="1" x14ac:dyDescent="0.35">
      <c r="A178" s="50"/>
      <c r="B178" s="50"/>
      <c r="C178" s="50" t="s">
        <v>8</v>
      </c>
      <c r="D178" s="50"/>
      <c r="E178" s="50"/>
      <c r="F178" s="50"/>
      <c r="G178" s="50"/>
      <c r="H178" s="51"/>
      <c r="I178" s="51"/>
      <c r="J178" s="51"/>
      <c r="K178" s="51"/>
      <c r="L178" s="51"/>
      <c r="M178" s="51"/>
      <c r="N178" s="51"/>
      <c r="O178" s="51"/>
      <c r="P178" s="51"/>
      <c r="Q178" s="51"/>
      <c r="R178" s="51"/>
      <c r="S178" s="51"/>
      <c r="T178" s="51"/>
      <c r="U178" s="51"/>
      <c r="V178" s="51"/>
      <c r="W178" s="51"/>
      <c r="AB178" s="86"/>
      <c r="AC178" s="86"/>
      <c r="AD178" s="86" t="s">
        <v>5</v>
      </c>
      <c r="AE178" s="86"/>
      <c r="AF178" s="86"/>
      <c r="AG178" s="86"/>
      <c r="AH178" s="87"/>
      <c r="AI178" s="87"/>
      <c r="AJ178" s="87"/>
      <c r="AK178" s="87"/>
      <c r="AL178" s="87">
        <v>0</v>
      </c>
      <c r="AM178" s="87">
        <v>0</v>
      </c>
      <c r="AN178" s="87">
        <v>0</v>
      </c>
      <c r="AO178" s="87">
        <v>0</v>
      </c>
      <c r="AP178" s="87">
        <v>0</v>
      </c>
      <c r="AQ178" s="87">
        <v>0</v>
      </c>
      <c r="AR178" s="87">
        <v>0</v>
      </c>
      <c r="AS178" s="87">
        <v>0</v>
      </c>
      <c r="AT178" s="87">
        <v>0</v>
      </c>
      <c r="AU178" s="87">
        <v>0</v>
      </c>
      <c r="AV178" s="87">
        <v>0</v>
      </c>
      <c r="AW178" s="87">
        <v>0</v>
      </c>
      <c r="AX178" s="87"/>
      <c r="AY178" s="88">
        <v>0</v>
      </c>
      <c r="AZ178" s="88">
        <v>236020</v>
      </c>
      <c r="BA178" s="88">
        <v>245659</v>
      </c>
      <c r="BB178" s="89" t="s">
        <v>259</v>
      </c>
    </row>
    <row r="179" spans="1:54" ht="14.4" customHeight="1" thickBot="1" x14ac:dyDescent="0.35">
      <c r="A179" s="50"/>
      <c r="B179" s="50"/>
      <c r="C179" s="50"/>
      <c r="D179" s="50" t="s">
        <v>196</v>
      </c>
      <c r="E179" s="50"/>
      <c r="F179" s="50"/>
      <c r="G179" s="50"/>
      <c r="H179" s="51">
        <v>488.69</v>
      </c>
      <c r="I179" s="51">
        <v>0</v>
      </c>
      <c r="J179" s="51">
        <v>0</v>
      </c>
      <c r="K179" s="51">
        <v>0</v>
      </c>
      <c r="L179" s="51">
        <v>0</v>
      </c>
      <c r="M179" s="51">
        <v>0</v>
      </c>
      <c r="N179" s="51">
        <v>1206.2</v>
      </c>
      <c r="O179" s="51">
        <v>0</v>
      </c>
      <c r="P179" s="51">
        <v>0</v>
      </c>
      <c r="Q179" s="51">
        <v>0</v>
      </c>
      <c r="R179" s="51">
        <v>0</v>
      </c>
      <c r="S179" s="51">
        <v>0</v>
      </c>
      <c r="T179" s="51"/>
      <c r="U179" s="51">
        <f t="shared" ref="U179:U184" si="58">ROUND(SUM(H179:T179),5)</f>
        <v>1694.89</v>
      </c>
      <c r="V179" s="51">
        <v>0</v>
      </c>
      <c r="W179" s="51">
        <v>0</v>
      </c>
      <c r="X179" s="68" t="s">
        <v>206</v>
      </c>
      <c r="AB179" s="86" t="s">
        <v>6</v>
      </c>
      <c r="AC179" s="86"/>
      <c r="AD179" s="86"/>
      <c r="AE179" s="86"/>
      <c r="AF179" s="86"/>
      <c r="AG179" s="86"/>
      <c r="AH179" s="93"/>
      <c r="AI179" s="93"/>
      <c r="AJ179" s="93"/>
      <c r="AK179" s="93"/>
      <c r="AL179" s="93">
        <f t="shared" ref="AL179:BA179" si="59">ROUND(AL40+AL71+AL149+AL155+AL171,5)+AL177+AL178</f>
        <v>27999</v>
      </c>
      <c r="AM179" s="93">
        <f t="shared" si="59"/>
        <v>43641.53</v>
      </c>
      <c r="AN179" s="93">
        <f t="shared" si="59"/>
        <v>40907.26</v>
      </c>
      <c r="AO179" s="93">
        <f t="shared" si="59"/>
        <v>48192.54</v>
      </c>
      <c r="AP179" s="93">
        <f t="shared" si="59"/>
        <v>32728.26</v>
      </c>
      <c r="AQ179" s="93">
        <f t="shared" si="59"/>
        <v>36866.379999999997</v>
      </c>
      <c r="AR179" s="93">
        <f t="shared" si="59"/>
        <v>44453.31</v>
      </c>
      <c r="AS179" s="93">
        <f t="shared" si="59"/>
        <v>32567.72</v>
      </c>
      <c r="AT179" s="93">
        <f t="shared" si="59"/>
        <v>48013.1</v>
      </c>
      <c r="AU179" s="93">
        <f t="shared" si="59"/>
        <v>52967.27</v>
      </c>
      <c r="AV179" s="93">
        <f t="shared" si="59"/>
        <v>50116.65</v>
      </c>
      <c r="AW179" s="93">
        <f t="shared" si="59"/>
        <v>98258.22</v>
      </c>
      <c r="AX179" s="93">
        <f t="shared" si="59"/>
        <v>0</v>
      </c>
      <c r="AY179" s="94">
        <f t="shared" si="59"/>
        <v>556711.24</v>
      </c>
      <c r="AZ179" s="94">
        <f t="shared" si="59"/>
        <v>1445300</v>
      </c>
      <c r="BA179" s="94">
        <f t="shared" si="59"/>
        <v>1552500</v>
      </c>
      <c r="BB179" s="95"/>
    </row>
    <row r="180" spans="1:54" ht="15.6" customHeight="1" x14ac:dyDescent="0.3">
      <c r="A180" s="50"/>
      <c r="B180" s="50"/>
      <c r="C180" s="50"/>
      <c r="D180" s="50" t="s">
        <v>197</v>
      </c>
      <c r="E180" s="50"/>
      <c r="F180" s="50"/>
      <c r="G180" s="50"/>
      <c r="H180" s="51">
        <v>3838.17</v>
      </c>
      <c r="I180" s="51">
        <v>-7360.71</v>
      </c>
      <c r="J180" s="51">
        <v>-12262.78</v>
      </c>
      <c r="K180" s="51">
        <v>-15312.76</v>
      </c>
      <c r="L180" s="51">
        <v>-7089.43</v>
      </c>
      <c r="M180" s="51">
        <v>-12210.57</v>
      </c>
      <c r="N180" s="51">
        <v>-30666.5</v>
      </c>
      <c r="O180" s="51">
        <v>-22606.21</v>
      </c>
      <c r="P180" s="51">
        <v>-54477.599999999999</v>
      </c>
      <c r="Q180" s="51">
        <v>-43909.78</v>
      </c>
      <c r="R180" s="51">
        <v>9284.9</v>
      </c>
      <c r="S180" s="51">
        <v>-10762.94</v>
      </c>
      <c r="T180" s="51"/>
      <c r="U180" s="51">
        <f t="shared" si="58"/>
        <v>-203536.21</v>
      </c>
      <c r="V180" s="51">
        <v>0</v>
      </c>
      <c r="W180" s="51">
        <v>0</v>
      </c>
      <c r="X180" s="68" t="s">
        <v>206</v>
      </c>
      <c r="AB180" s="86" t="s">
        <v>7</v>
      </c>
      <c r="AC180" s="86"/>
      <c r="AD180" s="86"/>
      <c r="AE180" s="86"/>
      <c r="AF180" s="86"/>
      <c r="AG180" s="86"/>
      <c r="AH180" s="87"/>
      <c r="AI180" s="87"/>
      <c r="AJ180" s="87"/>
      <c r="AK180" s="87"/>
      <c r="AL180" s="87">
        <f t="shared" ref="AL180:AW180" si="60">ROUND(AL2+AL39-AL179,5)</f>
        <v>-8841.0400000000009</v>
      </c>
      <c r="AM180" s="87">
        <f t="shared" si="60"/>
        <v>-10879.27</v>
      </c>
      <c r="AN180" s="87">
        <f t="shared" si="60"/>
        <v>-2325.44</v>
      </c>
      <c r="AO180" s="87">
        <f t="shared" si="60"/>
        <v>43497.59</v>
      </c>
      <c r="AP180" s="87">
        <f t="shared" si="60"/>
        <v>-13444.18</v>
      </c>
      <c r="AQ180" s="87">
        <f t="shared" si="60"/>
        <v>210923.04</v>
      </c>
      <c r="AR180" s="87">
        <f t="shared" si="60"/>
        <v>211891.47</v>
      </c>
      <c r="AS180" s="87">
        <f t="shared" si="60"/>
        <v>26678.65</v>
      </c>
      <c r="AT180" s="87">
        <f t="shared" si="60"/>
        <v>17447.71</v>
      </c>
      <c r="AU180" s="87">
        <f t="shared" si="60"/>
        <v>44297.38</v>
      </c>
      <c r="AV180" s="87">
        <f t="shared" si="60"/>
        <v>172821.62</v>
      </c>
      <c r="AW180" s="87">
        <f t="shared" si="60"/>
        <v>16430.13</v>
      </c>
      <c r="AX180" s="87"/>
      <c r="AY180" s="88">
        <f>ROUND(SUM(AH180:AX180),5)</f>
        <v>708497.66</v>
      </c>
      <c r="AZ180" s="88">
        <f>ROUND(AZ2+AZ39-AZ179,5)</f>
        <v>-366500</v>
      </c>
      <c r="BA180" s="88">
        <f>ROUND(BA2+BA39-BA179,5)</f>
        <v>-351500</v>
      </c>
      <c r="BB180" s="89"/>
    </row>
    <row r="181" spans="1:54" ht="13.2" customHeight="1" thickBot="1" x14ac:dyDescent="0.35">
      <c r="A181" s="50"/>
      <c r="B181" s="50"/>
      <c r="C181" s="50"/>
      <c r="D181" s="50" t="s">
        <v>280</v>
      </c>
      <c r="E181" s="50"/>
      <c r="F181" s="50"/>
      <c r="G181" s="50"/>
      <c r="H181" s="51">
        <v>0</v>
      </c>
      <c r="I181" s="51">
        <v>0</v>
      </c>
      <c r="J181" s="51">
        <v>0</v>
      </c>
      <c r="K181" s="51">
        <v>0</v>
      </c>
      <c r="L181" s="51">
        <v>0</v>
      </c>
      <c r="M181" s="51">
        <v>0</v>
      </c>
      <c r="N181" s="51">
        <v>0</v>
      </c>
      <c r="O181" s="51">
        <v>0</v>
      </c>
      <c r="P181" s="51">
        <v>0</v>
      </c>
      <c r="Q181" s="51">
        <v>0</v>
      </c>
      <c r="R181" s="51">
        <v>0</v>
      </c>
      <c r="S181" s="51">
        <v>0</v>
      </c>
      <c r="T181" s="51"/>
      <c r="U181" s="51">
        <f t="shared" si="58"/>
        <v>0</v>
      </c>
      <c r="V181" s="51">
        <v>0</v>
      </c>
      <c r="W181" s="51">
        <v>0</v>
      </c>
      <c r="X181" s="68" t="s">
        <v>206</v>
      </c>
      <c r="AB181" s="86"/>
      <c r="AC181" s="86" t="s">
        <v>8</v>
      </c>
      <c r="AD181" s="86"/>
      <c r="AE181" s="86"/>
      <c r="AF181" s="86"/>
      <c r="AG181" s="86"/>
      <c r="AH181" s="87"/>
      <c r="AI181" s="87"/>
      <c r="AJ181" s="87"/>
      <c r="AK181" s="87"/>
      <c r="AL181" s="87"/>
      <c r="AM181" s="87"/>
      <c r="AN181" s="87"/>
      <c r="AO181" s="87"/>
      <c r="AP181" s="87"/>
      <c r="AQ181" s="87"/>
      <c r="AR181" s="87"/>
      <c r="AS181" s="87"/>
      <c r="AT181" s="87"/>
      <c r="AU181" s="87"/>
      <c r="AV181" s="87"/>
      <c r="AW181" s="87"/>
      <c r="AX181" s="87"/>
      <c r="AY181" s="88"/>
      <c r="AZ181" s="88"/>
      <c r="BA181" s="88"/>
      <c r="BB181" s="89"/>
    </row>
    <row r="182" spans="1:54" ht="15" thickBot="1" x14ac:dyDescent="0.35">
      <c r="A182" s="50"/>
      <c r="B182" s="50"/>
      <c r="C182" s="50" t="s">
        <v>9</v>
      </c>
      <c r="D182" s="50"/>
      <c r="E182" s="50"/>
      <c r="F182" s="50"/>
      <c r="G182" s="50"/>
      <c r="H182" s="54">
        <f t="shared" ref="H182:P182" si="61">ROUND(SUM(H178:H181),5)</f>
        <v>4326.8599999999997</v>
      </c>
      <c r="I182" s="54">
        <f t="shared" si="61"/>
        <v>-7360.71</v>
      </c>
      <c r="J182" s="54">
        <f t="shared" si="61"/>
        <v>-12262.78</v>
      </c>
      <c r="K182" s="54">
        <f t="shared" si="61"/>
        <v>-15312.76</v>
      </c>
      <c r="L182" s="54">
        <f t="shared" si="61"/>
        <v>-7089.43</v>
      </c>
      <c r="M182" s="54">
        <f t="shared" si="61"/>
        <v>-12210.57</v>
      </c>
      <c r="N182" s="54">
        <f t="shared" si="61"/>
        <v>-29460.3</v>
      </c>
      <c r="O182" s="54">
        <f t="shared" si="61"/>
        <v>-22606.21</v>
      </c>
      <c r="P182" s="54">
        <f t="shared" si="61"/>
        <v>-54477.599999999999</v>
      </c>
      <c r="Q182" s="54">
        <f>ROUND(SUM(Q178:Q181),5)</f>
        <v>-43909.78</v>
      </c>
      <c r="R182" s="54">
        <f>ROUND(SUM(R178:R181),5)</f>
        <v>9284.9</v>
      </c>
      <c r="S182" s="54">
        <f>ROUND(SUM(S178:S181),5)</f>
        <v>-10762.94</v>
      </c>
      <c r="T182" s="54"/>
      <c r="U182" s="54">
        <f t="shared" si="58"/>
        <v>-201841.32</v>
      </c>
      <c r="V182" s="54">
        <f>ROUND(SUM(V178:V181),5)</f>
        <v>0</v>
      </c>
      <c r="W182" s="54">
        <f>ROUND(SUM(W178:W181),5)</f>
        <v>0</v>
      </c>
      <c r="AB182" s="86"/>
      <c r="AC182" s="86"/>
      <c r="AD182" s="86" t="s">
        <v>196</v>
      </c>
      <c r="AE182" s="86"/>
      <c r="AF182" s="86"/>
      <c r="AG182" s="86"/>
      <c r="AH182" s="87"/>
      <c r="AI182" s="87"/>
      <c r="AJ182" s="87"/>
      <c r="AK182" s="87"/>
      <c r="AL182" s="87"/>
      <c r="AM182" s="87"/>
      <c r="AN182" s="87"/>
      <c r="AO182" s="87"/>
      <c r="AP182" s="87"/>
      <c r="AQ182" s="87"/>
      <c r="AR182" s="87"/>
      <c r="AS182" s="87"/>
      <c r="AT182" s="87"/>
      <c r="AU182" s="87"/>
      <c r="AV182" s="87"/>
      <c r="AW182" s="87"/>
      <c r="AX182" s="87"/>
      <c r="AY182" s="88"/>
      <c r="AZ182" s="88"/>
      <c r="BA182" s="88"/>
      <c r="BB182" s="89"/>
    </row>
    <row r="183" spans="1:54" ht="22.2" thickBot="1" x14ac:dyDescent="0.35">
      <c r="A183" s="50"/>
      <c r="B183" s="50" t="s">
        <v>10</v>
      </c>
      <c r="C183" s="50"/>
      <c r="D183" s="50"/>
      <c r="E183" s="50"/>
      <c r="F183" s="50"/>
      <c r="G183" s="50"/>
      <c r="H183" s="54">
        <f t="shared" ref="H183:P183" si="62">ROUND(H177+H182,5)</f>
        <v>4326.8599999999997</v>
      </c>
      <c r="I183" s="54">
        <f t="shared" si="62"/>
        <v>-7360.71</v>
      </c>
      <c r="J183" s="54">
        <f t="shared" si="62"/>
        <v>-12262.78</v>
      </c>
      <c r="K183" s="54">
        <f t="shared" si="62"/>
        <v>-15312.76</v>
      </c>
      <c r="L183" s="54">
        <f t="shared" si="62"/>
        <v>-7089.43</v>
      </c>
      <c r="M183" s="54">
        <f t="shared" si="62"/>
        <v>-12210.57</v>
      </c>
      <c r="N183" s="54">
        <f t="shared" si="62"/>
        <v>-29460.3</v>
      </c>
      <c r="O183" s="54">
        <f t="shared" si="62"/>
        <v>-22606.21</v>
      </c>
      <c r="P183" s="54">
        <f t="shared" si="62"/>
        <v>-54477.599999999999</v>
      </c>
      <c r="Q183" s="54">
        <f>ROUND(Q177+Q182,5)</f>
        <v>-43909.78</v>
      </c>
      <c r="R183" s="54">
        <f>ROUND(R177+R182,5)</f>
        <v>9284.9</v>
      </c>
      <c r="S183" s="54">
        <f>ROUND(S177+S182,5)</f>
        <v>-10762.94</v>
      </c>
      <c r="T183" s="54"/>
      <c r="U183" s="54">
        <f t="shared" si="58"/>
        <v>-201841.32</v>
      </c>
      <c r="V183" s="54">
        <f>ROUND(V177+V182,5)</f>
        <v>0</v>
      </c>
      <c r="W183" s="54">
        <f>ROUND(W177+W182,5)</f>
        <v>0</v>
      </c>
      <c r="AB183" s="86"/>
      <c r="AC183" s="86"/>
      <c r="AD183" s="86" t="s">
        <v>197</v>
      </c>
      <c r="AE183" s="86"/>
      <c r="AF183" s="86"/>
      <c r="AG183" s="86"/>
      <c r="AH183" s="87"/>
      <c r="AI183" s="87"/>
      <c r="AJ183" s="87"/>
      <c r="AK183" s="87"/>
      <c r="AL183" s="87">
        <v>0</v>
      </c>
      <c r="AM183" s="87">
        <v>0</v>
      </c>
      <c r="AN183" s="87">
        <v>0</v>
      </c>
      <c r="AO183" s="87">
        <v>0</v>
      </c>
      <c r="AP183" s="87">
        <v>0</v>
      </c>
      <c r="AQ183" s="87">
        <v>0</v>
      </c>
      <c r="AR183" s="87">
        <v>2768.64</v>
      </c>
      <c r="AS183" s="87">
        <v>0</v>
      </c>
      <c r="AT183" s="87">
        <v>0</v>
      </c>
      <c r="AU183" s="87">
        <v>0</v>
      </c>
      <c r="AV183" s="87">
        <v>0</v>
      </c>
      <c r="AW183" s="87">
        <v>0</v>
      </c>
      <c r="AX183" s="87"/>
      <c r="AY183" s="88">
        <f>ROUND(SUM(AH183:AX183),5)</f>
        <v>2768.64</v>
      </c>
      <c r="AZ183" s="88">
        <v>0</v>
      </c>
      <c r="BA183" s="88">
        <v>0</v>
      </c>
      <c r="BB183" s="89" t="s">
        <v>206</v>
      </c>
    </row>
    <row r="184" spans="1:54" ht="22.2" thickBot="1" x14ac:dyDescent="0.35">
      <c r="A184" s="50" t="s">
        <v>11</v>
      </c>
      <c r="B184" s="50"/>
      <c r="C184" s="50"/>
      <c r="D184" s="50"/>
      <c r="E184" s="50"/>
      <c r="F184" s="50"/>
      <c r="G184" s="50"/>
      <c r="H184" s="55">
        <f t="shared" ref="H184:P184" si="63">ROUND(H176+H183,5)</f>
        <v>24972.79</v>
      </c>
      <c r="I184" s="55">
        <f t="shared" si="63"/>
        <v>-28495.56</v>
      </c>
      <c r="J184" s="55">
        <f t="shared" si="63"/>
        <v>38740.58</v>
      </c>
      <c r="K184" s="55">
        <f t="shared" si="63"/>
        <v>11335.13</v>
      </c>
      <c r="L184" s="55">
        <f t="shared" si="63"/>
        <v>-18880.61</v>
      </c>
      <c r="M184" s="55">
        <f t="shared" si="63"/>
        <v>229859.34</v>
      </c>
      <c r="N184" s="55">
        <f t="shared" si="63"/>
        <v>131497.29</v>
      </c>
      <c r="O184" s="55">
        <f t="shared" si="63"/>
        <v>-7491.57</v>
      </c>
      <c r="P184" s="55">
        <f t="shared" si="63"/>
        <v>-373401.36</v>
      </c>
      <c r="Q184" s="55">
        <f>ROUND(Q176+Q183,5)</f>
        <v>2505.31</v>
      </c>
      <c r="R184" s="55">
        <f>ROUND(R176+R183,5)</f>
        <v>-14589.74</v>
      </c>
      <c r="S184" s="55">
        <f>ROUND(S176+S183,5)</f>
        <v>-422525.19</v>
      </c>
      <c r="T184" s="55"/>
      <c r="U184" s="55">
        <f t="shared" si="58"/>
        <v>-426473.59</v>
      </c>
      <c r="V184" s="55">
        <f>ROUND(V176+V183,5)</f>
        <v>-351500</v>
      </c>
      <c r="W184" s="55">
        <f>ROUND(W176+W183,5)</f>
        <v>0</v>
      </c>
      <c r="AB184" s="86"/>
      <c r="AC184" s="86" t="s">
        <v>9</v>
      </c>
      <c r="AD184" s="86"/>
      <c r="AE184" s="86"/>
      <c r="AF184" s="86"/>
      <c r="AG184" s="86"/>
      <c r="AH184" s="87"/>
      <c r="AI184" s="87"/>
      <c r="AJ184" s="87"/>
      <c r="AK184" s="87"/>
      <c r="AL184" s="87">
        <v>3379.65</v>
      </c>
      <c r="AM184" s="87">
        <v>-3012.35</v>
      </c>
      <c r="AN184" s="87">
        <v>-3352.29</v>
      </c>
      <c r="AO184" s="87">
        <v>-8759.74</v>
      </c>
      <c r="AP184" s="87">
        <v>2275.2600000000002</v>
      </c>
      <c r="AQ184" s="87">
        <v>-9141.42</v>
      </c>
      <c r="AR184" s="87">
        <v>-5290.7</v>
      </c>
      <c r="AS184" s="87">
        <v>-9875.18</v>
      </c>
      <c r="AT184" s="87">
        <v>-10281.08</v>
      </c>
      <c r="AU184" s="87">
        <v>-4192.53</v>
      </c>
      <c r="AV184" s="87">
        <v>11137.13</v>
      </c>
      <c r="AW184" s="87">
        <v>-416.52</v>
      </c>
      <c r="AX184" s="87"/>
      <c r="AY184" s="88">
        <f>ROUND(SUM(AH184:AX184),5)</f>
        <v>-37529.769999999997</v>
      </c>
      <c r="AZ184" s="88">
        <v>0</v>
      </c>
      <c r="BA184" s="88">
        <v>0</v>
      </c>
      <c r="BB184" s="89" t="s">
        <v>206</v>
      </c>
    </row>
    <row r="185" spans="1:54" ht="15.6" thickTop="1" thickBot="1" x14ac:dyDescent="0.35">
      <c r="AB185" s="86" t="s">
        <v>10</v>
      </c>
      <c r="AC185" s="86"/>
      <c r="AD185" s="86"/>
      <c r="AE185" s="86"/>
      <c r="AF185" s="86"/>
      <c r="AG185" s="86"/>
      <c r="AH185" s="96"/>
      <c r="AI185" s="96"/>
      <c r="AJ185" s="96"/>
      <c r="AK185" s="96"/>
      <c r="AL185" s="96">
        <f t="shared" ref="AL185:AW185" si="64">ROUND(SUM(AL182:AL184),5)</f>
        <v>3379.65</v>
      </c>
      <c r="AM185" s="96">
        <f t="shared" si="64"/>
        <v>-3012.35</v>
      </c>
      <c r="AN185" s="96">
        <f t="shared" si="64"/>
        <v>-3352.29</v>
      </c>
      <c r="AO185" s="96">
        <f t="shared" si="64"/>
        <v>-8759.74</v>
      </c>
      <c r="AP185" s="96">
        <f t="shared" si="64"/>
        <v>2275.2600000000002</v>
      </c>
      <c r="AQ185" s="96">
        <f t="shared" si="64"/>
        <v>-9141.42</v>
      </c>
      <c r="AR185" s="96">
        <f t="shared" si="64"/>
        <v>-2522.06</v>
      </c>
      <c r="AS185" s="96">
        <f t="shared" si="64"/>
        <v>-9875.18</v>
      </c>
      <c r="AT185" s="96">
        <f t="shared" si="64"/>
        <v>-10281.08</v>
      </c>
      <c r="AU185" s="96">
        <f t="shared" si="64"/>
        <v>-4192.53</v>
      </c>
      <c r="AV185" s="96">
        <f t="shared" si="64"/>
        <v>11137.13</v>
      </c>
      <c r="AW185" s="96">
        <f t="shared" si="64"/>
        <v>-416.52</v>
      </c>
      <c r="AX185" s="96"/>
      <c r="AY185" s="97">
        <f>ROUND(SUM(AH185:AX185),5)</f>
        <v>-34761.129999999997</v>
      </c>
      <c r="AZ185" s="97">
        <f>ROUND(SUM(AZ182:AZ184),5)</f>
        <v>0</v>
      </c>
      <c r="BA185" s="97">
        <f>ROUND(SUM(BA182:BA184),5)</f>
        <v>0</v>
      </c>
      <c r="BB185" s="98"/>
    </row>
    <row r="186" spans="1:54" ht="15" thickBot="1" x14ac:dyDescent="0.35">
      <c r="AB186" s="86"/>
      <c r="AC186" s="86"/>
      <c r="AD186" s="86"/>
      <c r="AE186" s="86"/>
      <c r="AF186" s="86"/>
      <c r="AG186" s="86"/>
      <c r="AH186" s="96"/>
      <c r="AI186" s="96"/>
      <c r="AJ186" s="96"/>
      <c r="AK186" s="96"/>
      <c r="AL186" s="96">
        <f t="shared" ref="AL186:AW186" si="65">ROUND(AL181+AL185,5)</f>
        <v>3379.65</v>
      </c>
      <c r="AM186" s="96">
        <f t="shared" si="65"/>
        <v>-3012.35</v>
      </c>
      <c r="AN186" s="96">
        <f t="shared" si="65"/>
        <v>-3352.29</v>
      </c>
      <c r="AO186" s="96">
        <f t="shared" si="65"/>
        <v>-8759.74</v>
      </c>
      <c r="AP186" s="96">
        <f t="shared" si="65"/>
        <v>2275.2600000000002</v>
      </c>
      <c r="AQ186" s="96">
        <f t="shared" si="65"/>
        <v>-9141.42</v>
      </c>
      <c r="AR186" s="96">
        <f t="shared" si="65"/>
        <v>-2522.06</v>
      </c>
      <c r="AS186" s="96">
        <f t="shared" si="65"/>
        <v>-9875.18</v>
      </c>
      <c r="AT186" s="96">
        <f t="shared" si="65"/>
        <v>-10281.08</v>
      </c>
      <c r="AU186" s="96">
        <f t="shared" si="65"/>
        <v>-4192.53</v>
      </c>
      <c r="AV186" s="96">
        <f t="shared" si="65"/>
        <v>11137.13</v>
      </c>
      <c r="AW186" s="96">
        <f t="shared" si="65"/>
        <v>-416.52</v>
      </c>
      <c r="AX186" s="96"/>
      <c r="AY186" s="97">
        <f>ROUND(SUM(AH186:AX186),5)</f>
        <v>-34761.129999999997</v>
      </c>
      <c r="AZ186" s="97">
        <f>ROUND(AZ181+AZ185,5)</f>
        <v>0</v>
      </c>
      <c r="BA186" s="97">
        <f>ROUND(BA181+BA185,5)</f>
        <v>0</v>
      </c>
      <c r="BB186" s="98"/>
    </row>
    <row r="187" spans="1:54" ht="15" thickBot="1" x14ac:dyDescent="0.35">
      <c r="AF187" s="86"/>
      <c r="AG187" s="86"/>
      <c r="AH187" s="106"/>
      <c r="AI187" s="106"/>
      <c r="AJ187" s="106"/>
      <c r="AK187" s="106"/>
      <c r="AL187" s="106">
        <f t="shared" ref="AL187:AW187" si="66">ROUND(AL180+AL186,5)</f>
        <v>-5461.39</v>
      </c>
      <c r="AM187" s="106">
        <f t="shared" si="66"/>
        <v>-13891.62</v>
      </c>
      <c r="AN187" s="106">
        <f t="shared" si="66"/>
        <v>-5677.73</v>
      </c>
      <c r="AO187" s="106">
        <f t="shared" si="66"/>
        <v>34737.85</v>
      </c>
      <c r="AP187" s="106">
        <f t="shared" si="66"/>
        <v>-11168.92</v>
      </c>
      <c r="AQ187" s="106">
        <f t="shared" si="66"/>
        <v>201781.62</v>
      </c>
      <c r="AR187" s="106">
        <f t="shared" si="66"/>
        <v>209369.41</v>
      </c>
      <c r="AS187" s="106">
        <f t="shared" si="66"/>
        <v>16803.47</v>
      </c>
      <c r="AT187" s="106">
        <f t="shared" si="66"/>
        <v>7166.63</v>
      </c>
      <c r="AU187" s="106">
        <f t="shared" si="66"/>
        <v>40104.85</v>
      </c>
      <c r="AV187" s="106">
        <f t="shared" si="66"/>
        <v>183958.75</v>
      </c>
      <c r="AW187" s="106">
        <f t="shared" si="66"/>
        <v>16013.61</v>
      </c>
      <c r="AX187" s="106"/>
      <c r="AY187" s="107">
        <f>ROUND(SUM(AH187:AX187),5)</f>
        <v>673736.53</v>
      </c>
      <c r="AZ187" s="107">
        <f>ROUND(AZ180+AZ186,5)</f>
        <v>-366500</v>
      </c>
      <c r="BA187" s="107">
        <f>ROUND(BA180+BA186,5)</f>
        <v>-351500</v>
      </c>
      <c r="BB187" s="108"/>
    </row>
    <row r="188" spans="1:54" ht="15" thickTop="1" x14ac:dyDescent="0.3"/>
  </sheetData>
  <printOptions horizontalCentered="1"/>
  <pageMargins left="0.7" right="0.7" top="0.75" bottom="0.75" header="0.1" footer="0.3"/>
  <pageSetup orientation="portrait" horizontalDpi="0" verticalDpi="0" r:id="rId1"/>
  <headerFooter>
    <oddHeader>&amp;C&amp;"Arial,Bold"&amp;12 Temecula Public Cemetery District
&amp;14Second&amp;12 &amp;14Draft Budget
22-23</oddHeader>
    <oddFooter>&amp;R&amp;"Arial,Bold"&amp;8 Page &amp;P of &amp;N</oddFooter>
  </headerFooter>
  <drawing r:id="rId2"/>
  <legacyDrawing r:id="rId3"/>
  <controls>
    <mc:AlternateContent xmlns:mc="http://schemas.openxmlformats.org/markup-compatibility/2006">
      <mc:Choice Requires="x14">
        <control shapeId="138241" r:id="rId4" name="FILTER">
          <controlPr defaultSize="0" autoLine="0" r:id="rId5">
            <anchor moveWithCells="1">
              <from>
                <xdr:col>0</xdr:col>
                <xdr:colOff>0</xdr:colOff>
                <xdr:row>0</xdr:row>
                <xdr:rowOff>0</xdr:rowOff>
              </from>
              <to>
                <xdr:col>4</xdr:col>
                <xdr:colOff>68580</xdr:colOff>
                <xdr:row>0</xdr:row>
                <xdr:rowOff>236220</xdr:rowOff>
              </to>
            </anchor>
          </controlPr>
        </control>
      </mc:Choice>
      <mc:Fallback>
        <control shapeId="138241" r:id="rId4" name="FILTER"/>
      </mc:Fallback>
    </mc:AlternateContent>
    <mc:AlternateContent xmlns:mc="http://schemas.openxmlformats.org/markup-compatibility/2006">
      <mc:Choice Requires="x14">
        <control shapeId="138242" r:id="rId6" name="HEADER">
          <controlPr defaultSize="0" autoLine="0" r:id="rId7">
            <anchor moveWithCells="1">
              <from>
                <xdr:col>0</xdr:col>
                <xdr:colOff>0</xdr:colOff>
                <xdr:row>0</xdr:row>
                <xdr:rowOff>0</xdr:rowOff>
              </from>
              <to>
                <xdr:col>4</xdr:col>
                <xdr:colOff>68580</xdr:colOff>
                <xdr:row>0</xdr:row>
                <xdr:rowOff>236220</xdr:rowOff>
              </to>
            </anchor>
          </controlPr>
        </control>
      </mc:Choice>
      <mc:Fallback>
        <control shapeId="138242" r:id="rId6" name="HEADER"/>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8FE5D-B385-4695-88D2-51047A026949}">
  <dimension ref="A1"/>
  <sheetViews>
    <sheetView workbookViewId="0"/>
  </sheetViews>
  <sheetFormatPr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BB663-AE83-461F-94A5-D347F25CD631}">
  <sheetPr codeName="Sheet5"/>
  <dimension ref="A1:BE188"/>
  <sheetViews>
    <sheetView workbookViewId="0">
      <pane xSplit="7" ySplit="1" topLeftCell="U160" activePane="bottomRight" state="frozenSplit"/>
      <selection pane="topRight" activeCell="H1" sqref="H1"/>
      <selection pane="bottomLeft" activeCell="A2" sqref="A2"/>
      <selection pane="bottomRight" activeCell="W171" sqref="W171:W175"/>
    </sheetView>
  </sheetViews>
  <sheetFormatPr defaultRowHeight="14.4" x14ac:dyDescent="0.3"/>
  <cols>
    <col min="1" max="6" width="3" style="56" customWidth="1"/>
    <col min="7" max="7" width="30.5546875" style="56" customWidth="1"/>
    <col min="8" max="8" width="7.88671875" hidden="1" customWidth="1"/>
    <col min="9" max="12" width="8.44140625" hidden="1" customWidth="1"/>
    <col min="13" max="14" width="8.6640625" hidden="1" customWidth="1"/>
    <col min="15" max="15" width="8.44140625" hidden="1" customWidth="1"/>
    <col min="16" max="16" width="9.33203125" hidden="1" customWidth="1"/>
    <col min="17" max="17" width="7.88671875" hidden="1" customWidth="1"/>
    <col min="18" max="19" width="8.6640625" hidden="1" customWidth="1"/>
    <col min="20" max="20" width="8.33203125" hidden="1" customWidth="1"/>
    <col min="21" max="23" width="10" bestFit="1" customWidth="1"/>
    <col min="24" max="24" width="45.6640625" style="68" hidden="1" customWidth="1"/>
    <col min="25" max="27" width="8.88671875" hidden="1" customWidth="1"/>
    <col min="28" max="32" width="3" style="105" hidden="1" customWidth="1"/>
    <col min="33" max="33" width="23.44140625" style="105" hidden="1" customWidth="1"/>
    <col min="34" max="35" width="7.109375" style="109" hidden="1" customWidth="1"/>
    <col min="36" max="36" width="7.88671875" style="109" hidden="1" customWidth="1"/>
    <col min="37" max="37" width="8.33203125" style="109" hidden="1" customWidth="1"/>
    <col min="38" max="38" width="7.109375" style="109" hidden="1" customWidth="1"/>
    <col min="39" max="39" width="7.5546875" style="109" hidden="1" customWidth="1"/>
    <col min="40" max="41" width="7.109375" style="109" hidden="1" customWidth="1"/>
    <col min="42" max="42" width="7.5546875" style="109" hidden="1" customWidth="1"/>
    <col min="43" max="44" width="7.88671875" style="109" hidden="1" customWidth="1"/>
    <col min="45" max="45" width="7.109375" style="109" hidden="1" customWidth="1"/>
    <col min="46" max="46" width="7.5546875" style="109" hidden="1" customWidth="1"/>
    <col min="47" max="49" width="9.5546875" style="109" hidden="1" customWidth="1"/>
    <col min="50" max="50" width="7.5546875" style="109" hidden="1" customWidth="1"/>
    <col min="51" max="51" width="10.109375" style="110" hidden="1" customWidth="1"/>
    <col min="52" max="52" width="9.5546875" style="110" hidden="1" customWidth="1"/>
    <col min="53" max="53" width="10" style="110" hidden="1" customWidth="1"/>
    <col min="54" max="54" width="22.88671875" style="111" hidden="1" customWidth="1"/>
    <col min="55" max="57" width="8.88671875" hidden="1" customWidth="1"/>
    <col min="58" max="58" width="0" hidden="1" customWidth="1"/>
  </cols>
  <sheetData>
    <row r="1" spans="1:54" s="65" customFormat="1" ht="33.75" customHeight="1" thickBot="1" x14ac:dyDescent="0.25">
      <c r="A1" s="63"/>
      <c r="B1" s="63"/>
      <c r="C1" s="63"/>
      <c r="D1" s="63"/>
      <c r="E1" s="63"/>
      <c r="F1" s="63"/>
      <c r="G1" s="63"/>
      <c r="H1" s="64" t="s">
        <v>266</v>
      </c>
      <c r="I1" s="64" t="s">
        <v>267</v>
      </c>
      <c r="J1" s="64" t="s">
        <v>268</v>
      </c>
      <c r="K1" s="64" t="s">
        <v>269</v>
      </c>
      <c r="L1" s="64" t="s">
        <v>270</v>
      </c>
      <c r="M1" s="64" t="s">
        <v>271</v>
      </c>
      <c r="N1" s="64" t="s">
        <v>272</v>
      </c>
      <c r="O1" s="64" t="s">
        <v>273</v>
      </c>
      <c r="P1" s="64" t="s">
        <v>274</v>
      </c>
      <c r="Q1" s="64" t="s">
        <v>294</v>
      </c>
      <c r="R1" s="64" t="s">
        <v>306</v>
      </c>
      <c r="S1" s="64" t="s">
        <v>282</v>
      </c>
      <c r="T1" s="64"/>
      <c r="U1" s="64" t="s">
        <v>0</v>
      </c>
      <c r="V1" s="64" t="s">
        <v>308</v>
      </c>
      <c r="W1" s="64" t="s">
        <v>283</v>
      </c>
      <c r="X1" s="68"/>
      <c r="AB1" s="83"/>
      <c r="AC1" s="83"/>
      <c r="AD1" s="83"/>
      <c r="AE1" s="83"/>
      <c r="AF1" s="83"/>
      <c r="AG1" s="83"/>
      <c r="AH1" s="84"/>
      <c r="AI1" s="84"/>
      <c r="AJ1" s="84"/>
      <c r="AK1" s="84"/>
      <c r="AL1" s="84" t="s">
        <v>221</v>
      </c>
      <c r="AM1" s="84" t="s">
        <v>222</v>
      </c>
      <c r="AN1" s="84" t="s">
        <v>223</v>
      </c>
      <c r="AO1" s="84" t="s">
        <v>224</v>
      </c>
      <c r="AP1" s="84" t="s">
        <v>225</v>
      </c>
      <c r="AQ1" s="84" t="s">
        <v>226</v>
      </c>
      <c r="AR1" s="84" t="s">
        <v>227</v>
      </c>
      <c r="AS1" s="84" t="s">
        <v>228</v>
      </c>
      <c r="AT1" s="84" t="s">
        <v>229</v>
      </c>
      <c r="AU1" s="84" t="s">
        <v>260</v>
      </c>
      <c r="AV1" s="84" t="s">
        <v>234</v>
      </c>
      <c r="AW1" s="84" t="s">
        <v>235</v>
      </c>
      <c r="AX1" s="84"/>
      <c r="AY1" s="85" t="s">
        <v>236</v>
      </c>
      <c r="AZ1" s="85" t="s">
        <v>220</v>
      </c>
      <c r="BA1" s="85" t="s">
        <v>240</v>
      </c>
      <c r="BB1" s="85" t="s">
        <v>241</v>
      </c>
    </row>
    <row r="2" spans="1:54" ht="15" thickTop="1" x14ac:dyDescent="0.3">
      <c r="A2" s="50"/>
      <c r="B2" s="50" t="s">
        <v>1</v>
      </c>
      <c r="C2" s="50"/>
      <c r="D2" s="50"/>
      <c r="E2" s="50"/>
      <c r="F2" s="50"/>
      <c r="G2" s="50"/>
      <c r="H2" s="51"/>
      <c r="I2" s="51"/>
      <c r="J2" s="51"/>
      <c r="K2" s="51"/>
      <c r="L2" s="51"/>
      <c r="M2" s="51"/>
      <c r="N2" s="51"/>
      <c r="O2" s="51"/>
      <c r="P2" s="51"/>
      <c r="Q2" s="51"/>
      <c r="R2" s="51"/>
      <c r="S2" s="51"/>
      <c r="T2" s="51"/>
      <c r="U2" s="51"/>
      <c r="V2" s="51"/>
      <c r="W2" s="51"/>
      <c r="AB2" s="86" t="s">
        <v>1</v>
      </c>
      <c r="AC2" s="86"/>
      <c r="AD2" s="86"/>
      <c r="AE2" s="86"/>
      <c r="AF2" s="86"/>
      <c r="AG2" s="86"/>
      <c r="AH2" s="87"/>
      <c r="AI2" s="87"/>
      <c r="AJ2" s="87"/>
      <c r="AK2" s="87"/>
      <c r="AL2" s="87"/>
      <c r="AM2" s="87"/>
      <c r="AN2" s="87"/>
      <c r="AO2" s="87"/>
      <c r="AP2" s="87"/>
      <c r="AQ2" s="87"/>
      <c r="AR2" s="87"/>
      <c r="AS2" s="87"/>
      <c r="AT2" s="87"/>
      <c r="AU2" s="87"/>
      <c r="AV2" s="87"/>
      <c r="AW2" s="87"/>
      <c r="AX2" s="87"/>
      <c r="AY2" s="88"/>
      <c r="AZ2" s="88"/>
      <c r="BA2" s="88"/>
      <c r="BB2" s="89"/>
    </row>
    <row r="3" spans="1:54" x14ac:dyDescent="0.3">
      <c r="A3" s="50"/>
      <c r="B3" s="50"/>
      <c r="C3" s="50"/>
      <c r="D3" s="50" t="s">
        <v>2</v>
      </c>
      <c r="E3" s="50"/>
      <c r="F3" s="50"/>
      <c r="G3" s="50"/>
      <c r="H3" s="51"/>
      <c r="I3" s="51"/>
      <c r="J3" s="51"/>
      <c r="K3" s="51"/>
      <c r="L3" s="51"/>
      <c r="M3" s="51"/>
      <c r="N3" s="51"/>
      <c r="O3" s="51"/>
      <c r="P3" s="51"/>
      <c r="Q3" s="51"/>
      <c r="R3" s="51"/>
      <c r="S3" s="51"/>
      <c r="T3" s="51"/>
      <c r="U3" s="51"/>
      <c r="V3" s="51"/>
      <c r="W3" s="51"/>
      <c r="AB3" s="86"/>
      <c r="AC3" s="86"/>
      <c r="AD3" s="86" t="s">
        <v>2</v>
      </c>
      <c r="AE3" s="86"/>
      <c r="AF3" s="86"/>
      <c r="AG3" s="86"/>
      <c r="AH3" s="87"/>
      <c r="AI3" s="87"/>
      <c r="AJ3" s="87"/>
      <c r="AK3" s="87"/>
      <c r="AL3" s="87"/>
      <c r="AM3" s="87"/>
      <c r="AN3" s="87"/>
      <c r="AO3" s="87"/>
      <c r="AP3" s="87"/>
      <c r="AQ3" s="87"/>
      <c r="AR3" s="87"/>
      <c r="AS3" s="87"/>
      <c r="AT3" s="87"/>
      <c r="AU3" s="87"/>
      <c r="AV3" s="87"/>
      <c r="AW3" s="87"/>
      <c r="AX3" s="87"/>
      <c r="AY3" s="88"/>
      <c r="AZ3" s="88"/>
      <c r="BA3" s="88"/>
      <c r="BB3" s="89"/>
    </row>
    <row r="4" spans="1:54" x14ac:dyDescent="0.3">
      <c r="A4" s="50"/>
      <c r="B4" s="50"/>
      <c r="C4" s="50"/>
      <c r="D4" s="50"/>
      <c r="E4" s="50" t="s">
        <v>74</v>
      </c>
      <c r="F4" s="50"/>
      <c r="G4" s="50"/>
      <c r="H4" s="51"/>
      <c r="I4" s="51"/>
      <c r="J4" s="51"/>
      <c r="K4" s="51"/>
      <c r="L4" s="51"/>
      <c r="M4" s="51"/>
      <c r="N4" s="51"/>
      <c r="O4" s="51"/>
      <c r="P4" s="51"/>
      <c r="Q4" s="51"/>
      <c r="R4" s="51"/>
      <c r="S4" s="51"/>
      <c r="T4" s="51"/>
      <c r="U4" s="51"/>
      <c r="V4" s="51"/>
      <c r="W4" s="51"/>
      <c r="AB4" s="86"/>
      <c r="AC4" s="86"/>
      <c r="AD4" s="86"/>
      <c r="AE4" s="86" t="s">
        <v>74</v>
      </c>
      <c r="AF4" s="86"/>
      <c r="AG4" s="86"/>
      <c r="AH4" s="87"/>
      <c r="AI4" s="87"/>
      <c r="AJ4" s="87"/>
      <c r="AK4" s="87"/>
      <c r="AL4" s="87"/>
      <c r="AM4" s="87"/>
      <c r="AN4" s="87"/>
      <c r="AO4" s="87"/>
      <c r="AP4" s="87"/>
      <c r="AQ4" s="87"/>
      <c r="AR4" s="87"/>
      <c r="AS4" s="87"/>
      <c r="AT4" s="87"/>
      <c r="AU4" s="87"/>
      <c r="AV4" s="87"/>
      <c r="AW4" s="87"/>
      <c r="AX4" s="87"/>
      <c r="AY4" s="88"/>
      <c r="AZ4" s="88"/>
      <c r="BA4" s="88"/>
      <c r="BB4" s="89"/>
    </row>
    <row r="5" spans="1:54" x14ac:dyDescent="0.3">
      <c r="A5" s="50"/>
      <c r="B5" s="50"/>
      <c r="C5" s="50"/>
      <c r="D5" s="50"/>
      <c r="E5" s="50"/>
      <c r="F5" s="50" t="s">
        <v>75</v>
      </c>
      <c r="G5" s="50"/>
      <c r="H5" s="51">
        <v>0</v>
      </c>
      <c r="I5" s="51">
        <v>0</v>
      </c>
      <c r="J5" s="51">
        <v>0</v>
      </c>
      <c r="K5" s="51">
        <v>10434.290000000001</v>
      </c>
      <c r="L5" s="51">
        <v>-1558.69</v>
      </c>
      <c r="M5" s="51">
        <v>207958.45</v>
      </c>
      <c r="N5" s="51">
        <v>168614.58</v>
      </c>
      <c r="O5" s="51">
        <v>0</v>
      </c>
      <c r="P5" s="51">
        <v>0</v>
      </c>
      <c r="Q5" s="51">
        <v>69317.960000000006</v>
      </c>
      <c r="R5" s="51">
        <v>207662.09</v>
      </c>
      <c r="S5" s="51">
        <v>16877</v>
      </c>
      <c r="T5" s="51"/>
      <c r="U5" s="51">
        <f t="shared" ref="U5:U15" si="0">ROUND(SUM(H5:T5),5)</f>
        <v>679305.68</v>
      </c>
      <c r="V5" s="67">
        <v>663000</v>
      </c>
      <c r="W5" s="67">
        <f>663000-766800+800000</f>
        <v>696200</v>
      </c>
      <c r="AB5" s="86"/>
      <c r="AC5" s="86"/>
      <c r="AD5" s="86"/>
      <c r="AE5" s="86"/>
      <c r="AF5" s="86" t="s">
        <v>75</v>
      </c>
      <c r="AG5" s="86"/>
      <c r="AH5" s="87"/>
      <c r="AI5" s="87"/>
      <c r="AJ5" s="87"/>
      <c r="AK5" s="87"/>
      <c r="AL5" s="87">
        <v>-4000.33</v>
      </c>
      <c r="AM5" s="87">
        <v>0</v>
      </c>
      <c r="AN5" s="87">
        <v>0</v>
      </c>
      <c r="AO5" s="87">
        <v>0</v>
      </c>
      <c r="AP5" s="87">
        <v>0</v>
      </c>
      <c r="AQ5" s="87">
        <v>198022.72</v>
      </c>
      <c r="AR5" s="87">
        <v>156187.59</v>
      </c>
      <c r="AS5" s="87">
        <v>3095.51</v>
      </c>
      <c r="AT5" s="87">
        <v>0</v>
      </c>
      <c r="AU5" s="87">
        <v>66007.55</v>
      </c>
      <c r="AV5" s="87">
        <v>190781.16</v>
      </c>
      <c r="AW5" s="87">
        <v>13907</v>
      </c>
      <c r="AX5" s="87"/>
      <c r="AY5" s="88">
        <f t="shared" ref="AY5:AY15" si="1">ROUND(SUM(AH5:AX5),5)</f>
        <v>624001.19999999995</v>
      </c>
      <c r="AZ5" s="88">
        <v>625300</v>
      </c>
      <c r="BA5" s="88">
        <v>663000</v>
      </c>
      <c r="BB5" s="89"/>
    </row>
    <row r="6" spans="1:54" x14ac:dyDescent="0.3">
      <c r="A6" s="50"/>
      <c r="B6" s="50"/>
      <c r="C6" s="50"/>
      <c r="D6" s="50"/>
      <c r="E6" s="50"/>
      <c r="F6" s="50" t="s">
        <v>76</v>
      </c>
      <c r="G6" s="50"/>
      <c r="H6" s="51">
        <v>0</v>
      </c>
      <c r="I6" s="51">
        <v>2255.1999999999998</v>
      </c>
      <c r="J6" s="51">
        <v>0</v>
      </c>
      <c r="K6" s="51">
        <v>28316.05</v>
      </c>
      <c r="L6" s="51">
        <v>0</v>
      </c>
      <c r="M6" s="51">
        <v>0</v>
      </c>
      <c r="N6" s="51">
        <v>0</v>
      </c>
      <c r="O6" s="51">
        <v>0</v>
      </c>
      <c r="P6" s="51">
        <v>4147.16</v>
      </c>
      <c r="Q6" s="51">
        <v>0</v>
      </c>
      <c r="R6" s="51">
        <v>0</v>
      </c>
      <c r="S6" s="51">
        <v>2000</v>
      </c>
      <c r="T6" s="51"/>
      <c r="U6" s="51">
        <f t="shared" si="0"/>
        <v>36718.410000000003</v>
      </c>
      <c r="V6" s="67">
        <v>25000</v>
      </c>
      <c r="W6" s="67">
        <v>25000</v>
      </c>
      <c r="AB6" s="86"/>
      <c r="AC6" s="86"/>
      <c r="AD6" s="86"/>
      <c r="AE6" s="86"/>
      <c r="AF6" s="86" t="s">
        <v>76</v>
      </c>
      <c r="AG6" s="86"/>
      <c r="AH6" s="87"/>
      <c r="AI6" s="87"/>
      <c r="AJ6" s="87"/>
      <c r="AK6" s="87"/>
      <c r="AL6" s="87">
        <v>0</v>
      </c>
      <c r="AM6" s="87">
        <v>0</v>
      </c>
      <c r="AN6" s="87">
        <v>0</v>
      </c>
      <c r="AO6" s="87">
        <v>25398.66</v>
      </c>
      <c r="AP6" s="87">
        <v>0</v>
      </c>
      <c r="AQ6" s="87">
        <v>1708.76</v>
      </c>
      <c r="AR6" s="87">
        <v>0</v>
      </c>
      <c r="AS6" s="87">
        <v>0</v>
      </c>
      <c r="AT6" s="87">
        <v>0</v>
      </c>
      <c r="AU6" s="87">
        <v>0</v>
      </c>
      <c r="AV6" s="87">
        <v>0</v>
      </c>
      <c r="AW6" s="87">
        <v>17730</v>
      </c>
      <c r="AX6" s="87"/>
      <c r="AY6" s="88">
        <f t="shared" si="1"/>
        <v>44837.42</v>
      </c>
      <c r="AZ6" s="88">
        <v>15000</v>
      </c>
      <c r="BA6" s="88">
        <v>25000</v>
      </c>
      <c r="BB6" s="89" t="s">
        <v>254</v>
      </c>
    </row>
    <row r="7" spans="1:54" x14ac:dyDescent="0.3">
      <c r="A7" s="50"/>
      <c r="B7" s="50"/>
      <c r="C7" s="50"/>
      <c r="D7" s="50"/>
      <c r="E7" s="50"/>
      <c r="F7" s="50" t="s">
        <v>275</v>
      </c>
      <c r="G7" s="50"/>
      <c r="H7" s="51">
        <v>0</v>
      </c>
      <c r="I7" s="51">
        <v>-965.01</v>
      </c>
      <c r="J7" s="51">
        <v>0</v>
      </c>
      <c r="K7" s="51">
        <v>0</v>
      </c>
      <c r="L7" s="51">
        <v>0</v>
      </c>
      <c r="M7" s="51">
        <v>0</v>
      </c>
      <c r="N7" s="51">
        <v>0</v>
      </c>
      <c r="O7" s="51">
        <v>0</v>
      </c>
      <c r="P7" s="51">
        <v>0</v>
      </c>
      <c r="Q7" s="51">
        <v>0</v>
      </c>
      <c r="R7" s="51">
        <v>0</v>
      </c>
      <c r="S7" s="51">
        <v>0</v>
      </c>
      <c r="T7" s="51"/>
      <c r="U7" s="51">
        <f t="shared" si="0"/>
        <v>-965.01</v>
      </c>
      <c r="V7" s="51">
        <v>0</v>
      </c>
      <c r="W7" s="51">
        <v>0</v>
      </c>
      <c r="AB7" s="86"/>
      <c r="AC7" s="86"/>
      <c r="AD7" s="86"/>
      <c r="AE7" s="86"/>
      <c r="AF7" s="86"/>
      <c r="AG7" s="86"/>
      <c r="AH7" s="87"/>
      <c r="AI7" s="87"/>
      <c r="AJ7" s="87"/>
      <c r="AK7" s="87"/>
      <c r="AL7" s="87"/>
      <c r="AM7" s="87"/>
      <c r="AN7" s="87"/>
      <c r="AO7" s="87"/>
      <c r="AP7" s="87"/>
      <c r="AQ7" s="87"/>
      <c r="AR7" s="87"/>
      <c r="AS7" s="87"/>
      <c r="AT7" s="87"/>
      <c r="AU7" s="87"/>
      <c r="AV7" s="87"/>
      <c r="AW7" s="87"/>
      <c r="AX7" s="87"/>
      <c r="AY7" s="88"/>
      <c r="AZ7" s="88"/>
      <c r="BA7" s="88"/>
      <c r="BB7" s="89"/>
    </row>
    <row r="8" spans="1:54" x14ac:dyDescent="0.3">
      <c r="A8" s="50"/>
      <c r="B8" s="50"/>
      <c r="C8" s="50"/>
      <c r="D8" s="50"/>
      <c r="E8" s="50"/>
      <c r="F8" s="50" t="s">
        <v>77</v>
      </c>
      <c r="G8" s="50"/>
      <c r="H8" s="51">
        <v>0</v>
      </c>
      <c r="I8" s="51">
        <v>0</v>
      </c>
      <c r="J8" s="51">
        <v>0</v>
      </c>
      <c r="K8" s="51">
        <v>0</v>
      </c>
      <c r="L8" s="51">
        <v>0</v>
      </c>
      <c r="M8" s="51">
        <v>0</v>
      </c>
      <c r="N8" s="51">
        <v>0</v>
      </c>
      <c r="O8" s="51">
        <v>0</v>
      </c>
      <c r="P8" s="51">
        <v>0</v>
      </c>
      <c r="Q8" s="51">
        <v>0</v>
      </c>
      <c r="R8" s="51">
        <v>0</v>
      </c>
      <c r="S8" s="51">
        <v>3049</v>
      </c>
      <c r="T8" s="51"/>
      <c r="U8" s="51">
        <f t="shared" si="0"/>
        <v>3049</v>
      </c>
      <c r="V8" s="67">
        <v>9600</v>
      </c>
      <c r="W8" s="67">
        <v>9600</v>
      </c>
      <c r="AB8" s="86"/>
      <c r="AC8" s="86"/>
      <c r="AD8" s="86"/>
      <c r="AE8" s="86"/>
      <c r="AF8" s="86" t="s">
        <v>77</v>
      </c>
      <c r="AG8" s="86"/>
      <c r="AH8" s="87"/>
      <c r="AI8" s="87"/>
      <c r="AJ8" s="87"/>
      <c r="AK8" s="87"/>
      <c r="AL8" s="87">
        <v>0</v>
      </c>
      <c r="AM8" s="87">
        <v>0</v>
      </c>
      <c r="AN8" s="87">
        <v>0</v>
      </c>
      <c r="AO8" s="87">
        <v>0</v>
      </c>
      <c r="AP8" s="87">
        <v>0</v>
      </c>
      <c r="AQ8" s="87">
        <v>0</v>
      </c>
      <c r="AR8" s="87">
        <v>3744.8</v>
      </c>
      <c r="AS8" s="87">
        <v>0</v>
      </c>
      <c r="AT8" s="87">
        <v>2285.4699999999998</v>
      </c>
      <c r="AU8" s="87">
        <v>0</v>
      </c>
      <c r="AV8" s="87">
        <v>3115.61</v>
      </c>
      <c r="AW8" s="87">
        <v>260</v>
      </c>
      <c r="AX8" s="87"/>
      <c r="AY8" s="88">
        <f t="shared" si="1"/>
        <v>9405.8799999999992</v>
      </c>
      <c r="AZ8" s="88">
        <v>9000</v>
      </c>
      <c r="BA8" s="88">
        <v>9600</v>
      </c>
      <c r="BB8" s="89" t="s">
        <v>254</v>
      </c>
    </row>
    <row r="9" spans="1:54" x14ac:dyDescent="0.3">
      <c r="A9" s="50"/>
      <c r="B9" s="50"/>
      <c r="C9" s="50"/>
      <c r="D9" s="50"/>
      <c r="E9" s="50"/>
      <c r="F9" s="50" t="s">
        <v>78</v>
      </c>
      <c r="G9" s="50"/>
      <c r="H9" s="51">
        <v>0</v>
      </c>
      <c r="I9" s="51">
        <v>511.88</v>
      </c>
      <c r="J9" s="51">
        <v>0</v>
      </c>
      <c r="K9" s="51">
        <v>0</v>
      </c>
      <c r="L9" s="51">
        <v>0</v>
      </c>
      <c r="M9" s="51">
        <v>0</v>
      </c>
      <c r="N9" s="51">
        <v>0</v>
      </c>
      <c r="O9" s="51">
        <v>8608.42</v>
      </c>
      <c r="P9" s="51">
        <v>1439.07</v>
      </c>
      <c r="Q9" s="51">
        <v>0</v>
      </c>
      <c r="R9" s="51">
        <v>0</v>
      </c>
      <c r="S9" s="51">
        <v>0</v>
      </c>
      <c r="T9" s="51"/>
      <c r="U9" s="51">
        <f t="shared" si="0"/>
        <v>10559.37</v>
      </c>
      <c r="V9" s="67">
        <v>4500</v>
      </c>
      <c r="W9" s="67">
        <v>4500</v>
      </c>
      <c r="AB9" s="86"/>
      <c r="AC9" s="86"/>
      <c r="AD9" s="86"/>
      <c r="AE9" s="86"/>
      <c r="AF9" s="86" t="s">
        <v>78</v>
      </c>
      <c r="AG9" s="86"/>
      <c r="AH9" s="87"/>
      <c r="AI9" s="87"/>
      <c r="AJ9" s="87"/>
      <c r="AK9" s="87"/>
      <c r="AL9" s="87">
        <v>0</v>
      </c>
      <c r="AM9" s="87">
        <v>0</v>
      </c>
      <c r="AN9" s="87">
        <v>0</v>
      </c>
      <c r="AO9" s="87">
        <v>0</v>
      </c>
      <c r="AP9" s="87">
        <v>0</v>
      </c>
      <c r="AQ9" s="87">
        <v>0</v>
      </c>
      <c r="AR9" s="87">
        <v>3829.4</v>
      </c>
      <c r="AS9" s="87">
        <v>0</v>
      </c>
      <c r="AT9" s="87">
        <v>644.45000000000005</v>
      </c>
      <c r="AU9" s="87">
        <v>0</v>
      </c>
      <c r="AV9" s="87">
        <v>0</v>
      </c>
      <c r="AW9" s="87">
        <v>2014.63</v>
      </c>
      <c r="AX9" s="87"/>
      <c r="AY9" s="88">
        <f t="shared" si="1"/>
        <v>6488.48</v>
      </c>
      <c r="AZ9" s="88">
        <v>3500</v>
      </c>
      <c r="BA9" s="88">
        <v>4500</v>
      </c>
      <c r="BB9" s="89" t="s">
        <v>254</v>
      </c>
    </row>
    <row r="10" spans="1:54" x14ac:dyDescent="0.3">
      <c r="A10" s="50"/>
      <c r="B10" s="50"/>
      <c r="C10" s="50"/>
      <c r="D10" s="50"/>
      <c r="E10" s="50"/>
      <c r="F10" s="50" t="s">
        <v>79</v>
      </c>
      <c r="G10" s="50"/>
      <c r="H10" s="51">
        <v>0</v>
      </c>
      <c r="I10" s="51">
        <v>0</v>
      </c>
      <c r="J10" s="51">
        <v>0</v>
      </c>
      <c r="K10" s="51">
        <v>0</v>
      </c>
      <c r="L10" s="51">
        <v>0</v>
      </c>
      <c r="M10" s="51">
        <v>0</v>
      </c>
      <c r="N10" s="51">
        <v>0</v>
      </c>
      <c r="O10" s="51">
        <v>0</v>
      </c>
      <c r="P10" s="51">
        <v>0</v>
      </c>
      <c r="Q10" s="51">
        <v>0</v>
      </c>
      <c r="R10" s="51">
        <v>0</v>
      </c>
      <c r="S10" s="51">
        <v>-4890</v>
      </c>
      <c r="T10" s="51"/>
      <c r="U10" s="51">
        <f t="shared" si="0"/>
        <v>-4890</v>
      </c>
      <c r="V10" s="67">
        <v>10000</v>
      </c>
      <c r="W10" s="67">
        <v>10000</v>
      </c>
      <c r="AB10" s="86"/>
      <c r="AC10" s="86"/>
      <c r="AD10" s="86"/>
      <c r="AE10" s="86"/>
      <c r="AF10" s="86" t="s">
        <v>79</v>
      </c>
      <c r="AG10" s="86"/>
      <c r="AH10" s="87"/>
      <c r="AI10" s="87"/>
      <c r="AJ10" s="87"/>
      <c r="AK10" s="87"/>
      <c r="AL10" s="87">
        <v>0</v>
      </c>
      <c r="AM10" s="87">
        <v>0</v>
      </c>
      <c r="AN10" s="87">
        <v>0</v>
      </c>
      <c r="AO10" s="87">
        <v>4889.55</v>
      </c>
      <c r="AP10" s="87">
        <v>0</v>
      </c>
      <c r="AQ10" s="87">
        <v>0</v>
      </c>
      <c r="AR10" s="87">
        <v>0</v>
      </c>
      <c r="AS10" s="87">
        <v>0</v>
      </c>
      <c r="AT10" s="87">
        <v>0</v>
      </c>
      <c r="AU10" s="87">
        <v>0</v>
      </c>
      <c r="AV10" s="87">
        <v>0</v>
      </c>
      <c r="AW10" s="87">
        <v>-1639</v>
      </c>
      <c r="AX10" s="87"/>
      <c r="AY10" s="88">
        <f t="shared" si="1"/>
        <v>3250.55</v>
      </c>
      <c r="AZ10" s="88">
        <v>10000</v>
      </c>
      <c r="BA10" s="88">
        <v>10000</v>
      </c>
      <c r="BB10" s="89"/>
    </row>
    <row r="11" spans="1:54" x14ac:dyDescent="0.3">
      <c r="A11" s="50"/>
      <c r="B11" s="50"/>
      <c r="C11" s="50"/>
      <c r="D11" s="50"/>
      <c r="E11" s="50"/>
      <c r="F11" s="50" t="s">
        <v>80</v>
      </c>
      <c r="G11" s="50"/>
      <c r="H11" s="51">
        <v>0</v>
      </c>
      <c r="I11" s="51">
        <v>0</v>
      </c>
      <c r="J11" s="51">
        <v>0</v>
      </c>
      <c r="K11" s="51">
        <v>0</v>
      </c>
      <c r="L11" s="51">
        <v>0</v>
      </c>
      <c r="M11" s="51">
        <v>48208.65</v>
      </c>
      <c r="N11" s="51">
        <v>0</v>
      </c>
      <c r="O11" s="51">
        <v>0</v>
      </c>
      <c r="P11" s="51">
        <v>0</v>
      </c>
      <c r="Q11" s="51">
        <v>0</v>
      </c>
      <c r="R11" s="51">
        <v>49655.95</v>
      </c>
      <c r="S11" s="51">
        <v>0</v>
      </c>
      <c r="T11" s="51"/>
      <c r="U11" s="51">
        <f t="shared" si="0"/>
        <v>97864.6</v>
      </c>
      <c r="V11" s="67">
        <v>40000</v>
      </c>
      <c r="W11" s="67">
        <v>40000</v>
      </c>
      <c r="AB11" s="86"/>
      <c r="AC11" s="86"/>
      <c r="AD11" s="86"/>
      <c r="AE11" s="86"/>
      <c r="AF11" s="86" t="s">
        <v>80</v>
      </c>
      <c r="AG11" s="86"/>
      <c r="AH11" s="87"/>
      <c r="AI11" s="87"/>
      <c r="AJ11" s="87"/>
      <c r="AK11" s="87"/>
      <c r="AL11" s="87">
        <v>0</v>
      </c>
      <c r="AM11" s="87">
        <v>0</v>
      </c>
      <c r="AN11" s="87">
        <v>0</v>
      </c>
      <c r="AO11" s="87">
        <v>0</v>
      </c>
      <c r="AP11" s="87">
        <v>0</v>
      </c>
      <c r="AQ11" s="87">
        <v>0</v>
      </c>
      <c r="AR11" s="87">
        <v>43513.8</v>
      </c>
      <c r="AS11" s="87">
        <v>0</v>
      </c>
      <c r="AT11" s="87">
        <v>0</v>
      </c>
      <c r="AU11" s="87">
        <v>0</v>
      </c>
      <c r="AV11" s="87">
        <v>0</v>
      </c>
      <c r="AW11" s="87">
        <v>41834.04</v>
      </c>
      <c r="AX11" s="87"/>
      <c r="AY11" s="88">
        <f t="shared" si="1"/>
        <v>85347.839999999997</v>
      </c>
      <c r="AZ11" s="88">
        <v>40000</v>
      </c>
      <c r="BA11" s="88">
        <v>40000</v>
      </c>
      <c r="BB11" s="89"/>
    </row>
    <row r="12" spans="1:54" x14ac:dyDescent="0.3">
      <c r="A12" s="50"/>
      <c r="B12" s="50"/>
      <c r="C12" s="50"/>
      <c r="D12" s="50"/>
      <c r="E12" s="50"/>
      <c r="F12" s="50" t="s">
        <v>81</v>
      </c>
      <c r="G12" s="50"/>
      <c r="H12" s="51">
        <v>0</v>
      </c>
      <c r="I12" s="51">
        <v>0</v>
      </c>
      <c r="J12" s="51">
        <v>0</v>
      </c>
      <c r="K12" s="51">
        <v>0</v>
      </c>
      <c r="L12" s="51">
        <v>0</v>
      </c>
      <c r="M12" s="51">
        <v>934.92</v>
      </c>
      <c r="N12" s="51">
        <v>2181.48</v>
      </c>
      <c r="O12" s="51">
        <v>0</v>
      </c>
      <c r="P12" s="51">
        <v>0</v>
      </c>
      <c r="Q12" s="51">
        <v>0</v>
      </c>
      <c r="R12" s="51">
        <v>2181.67</v>
      </c>
      <c r="S12" s="51">
        <v>4023.37</v>
      </c>
      <c r="T12" s="51"/>
      <c r="U12" s="51">
        <f t="shared" si="0"/>
        <v>9321.44</v>
      </c>
      <c r="V12" s="67">
        <v>4000</v>
      </c>
      <c r="W12" s="67">
        <v>4000</v>
      </c>
      <c r="AB12" s="86"/>
      <c r="AC12" s="86"/>
      <c r="AD12" s="86"/>
      <c r="AE12" s="86"/>
      <c r="AF12" s="86" t="s">
        <v>81</v>
      </c>
      <c r="AG12" s="86"/>
      <c r="AH12" s="87"/>
      <c r="AI12" s="87"/>
      <c r="AJ12" s="87"/>
      <c r="AK12" s="87"/>
      <c r="AL12" s="87">
        <v>0</v>
      </c>
      <c r="AM12" s="87">
        <v>0</v>
      </c>
      <c r="AN12" s="87">
        <v>0</v>
      </c>
      <c r="AO12" s="87">
        <v>0</v>
      </c>
      <c r="AP12" s="87">
        <v>0</v>
      </c>
      <c r="AQ12" s="87">
        <v>0</v>
      </c>
      <c r="AR12" s="87">
        <v>0</v>
      </c>
      <c r="AS12" s="87">
        <v>0</v>
      </c>
      <c r="AT12" s="87">
        <v>0</v>
      </c>
      <c r="AU12" s="87">
        <v>0</v>
      </c>
      <c r="AV12" s="87">
        <v>2208.9</v>
      </c>
      <c r="AW12" s="87">
        <v>946.84</v>
      </c>
      <c r="AX12" s="87"/>
      <c r="AY12" s="88">
        <f t="shared" si="1"/>
        <v>3155.74</v>
      </c>
      <c r="AZ12" s="88">
        <v>7000</v>
      </c>
      <c r="BA12" s="88">
        <v>4000</v>
      </c>
      <c r="BB12" s="89"/>
    </row>
    <row r="13" spans="1:54" x14ac:dyDescent="0.3">
      <c r="A13" s="50"/>
      <c r="B13" s="50"/>
      <c r="C13" s="50"/>
      <c r="D13" s="50"/>
      <c r="E13" s="50"/>
      <c r="F13" s="50" t="s">
        <v>82</v>
      </c>
      <c r="G13" s="50"/>
      <c r="H13" s="51">
        <v>0</v>
      </c>
      <c r="I13" s="51">
        <v>-0.37</v>
      </c>
      <c r="J13" s="51">
        <v>0</v>
      </c>
      <c r="K13" s="51">
        <v>0</v>
      </c>
      <c r="L13" s="51">
        <v>0</v>
      </c>
      <c r="M13" s="51">
        <v>0</v>
      </c>
      <c r="N13" s="51">
        <v>0</v>
      </c>
      <c r="O13" s="51">
        <v>5630.34</v>
      </c>
      <c r="P13" s="51">
        <v>0</v>
      </c>
      <c r="Q13" s="51">
        <v>0</v>
      </c>
      <c r="R13" s="51">
        <v>5460.53</v>
      </c>
      <c r="S13" s="51">
        <v>0</v>
      </c>
      <c r="T13" s="51"/>
      <c r="U13" s="51">
        <f t="shared" si="0"/>
        <v>11090.5</v>
      </c>
      <c r="V13" s="67">
        <v>10500</v>
      </c>
      <c r="W13" s="67">
        <v>10500</v>
      </c>
      <c r="AB13" s="86"/>
      <c r="AC13" s="86"/>
      <c r="AD13" s="86"/>
      <c r="AE13" s="86"/>
      <c r="AF13" s="86" t="s">
        <v>82</v>
      </c>
      <c r="AG13" s="86"/>
      <c r="AH13" s="87"/>
      <c r="AI13" s="87"/>
      <c r="AJ13" s="87"/>
      <c r="AK13" s="87"/>
      <c r="AL13" s="87">
        <v>0</v>
      </c>
      <c r="AM13" s="87">
        <v>0</v>
      </c>
      <c r="AN13" s="87">
        <v>0</v>
      </c>
      <c r="AO13" s="87">
        <v>0</v>
      </c>
      <c r="AP13" s="87">
        <v>0</v>
      </c>
      <c r="AQ13" s="87">
        <v>0</v>
      </c>
      <c r="AR13" s="87">
        <v>5671.54</v>
      </c>
      <c r="AS13" s="87">
        <v>0</v>
      </c>
      <c r="AT13" s="87">
        <v>0</v>
      </c>
      <c r="AU13" s="87">
        <v>0</v>
      </c>
      <c r="AV13" s="87">
        <v>4670.6000000000004</v>
      </c>
      <c r="AW13" s="87">
        <v>143</v>
      </c>
      <c r="AX13" s="87"/>
      <c r="AY13" s="88">
        <f t="shared" si="1"/>
        <v>10485.14</v>
      </c>
      <c r="AZ13" s="88">
        <v>10000</v>
      </c>
      <c r="BA13" s="88">
        <v>10500</v>
      </c>
      <c r="BB13" s="89"/>
    </row>
    <row r="14" spans="1:54" ht="15" thickBot="1" x14ac:dyDescent="0.35">
      <c r="A14" s="50"/>
      <c r="B14" s="50"/>
      <c r="C14" s="50"/>
      <c r="D14" s="50"/>
      <c r="E14" s="50"/>
      <c r="F14" s="50" t="s">
        <v>83</v>
      </c>
      <c r="G14" s="50"/>
      <c r="H14" s="52">
        <v>0</v>
      </c>
      <c r="I14" s="52">
        <v>0</v>
      </c>
      <c r="J14" s="52">
        <v>0</v>
      </c>
      <c r="K14" s="52">
        <v>0</v>
      </c>
      <c r="L14" s="52">
        <v>0</v>
      </c>
      <c r="M14" s="52">
        <v>0</v>
      </c>
      <c r="N14" s="52">
        <v>0</v>
      </c>
      <c r="O14" s="52">
        <v>115.4</v>
      </c>
      <c r="P14" s="52">
        <v>0</v>
      </c>
      <c r="Q14" s="52">
        <v>0</v>
      </c>
      <c r="R14" s="52">
        <v>0</v>
      </c>
      <c r="S14" s="52">
        <v>-115.63</v>
      </c>
      <c r="T14" s="52"/>
      <c r="U14" s="52">
        <f t="shared" si="0"/>
        <v>-0.23</v>
      </c>
      <c r="V14" s="69">
        <v>200</v>
      </c>
      <c r="W14" s="69">
        <v>200</v>
      </c>
      <c r="AB14" s="86"/>
      <c r="AC14" s="86"/>
      <c r="AD14" s="86"/>
      <c r="AE14" s="86" t="s">
        <v>84</v>
      </c>
      <c r="AF14" s="86" t="s">
        <v>83</v>
      </c>
      <c r="AG14" s="86"/>
      <c r="AH14" s="90"/>
      <c r="AI14" s="90"/>
      <c r="AJ14" s="90"/>
      <c r="AK14" s="90"/>
      <c r="AL14" s="90">
        <v>0</v>
      </c>
      <c r="AM14" s="90">
        <v>0</v>
      </c>
      <c r="AN14" s="90">
        <v>0</v>
      </c>
      <c r="AO14" s="90">
        <v>0</v>
      </c>
      <c r="AP14" s="90">
        <v>0</v>
      </c>
      <c r="AQ14" s="90">
        <v>115.4</v>
      </c>
      <c r="AR14" s="90">
        <v>0</v>
      </c>
      <c r="AS14" s="90">
        <v>0</v>
      </c>
      <c r="AT14" s="90">
        <v>0</v>
      </c>
      <c r="AU14" s="90">
        <v>0</v>
      </c>
      <c r="AV14" s="90">
        <v>0</v>
      </c>
      <c r="AW14" s="90">
        <v>0</v>
      </c>
      <c r="AX14" s="90"/>
      <c r="AY14" s="91">
        <f t="shared" si="1"/>
        <v>115.4</v>
      </c>
      <c r="AZ14" s="91">
        <v>200</v>
      </c>
      <c r="BA14" s="91">
        <v>200</v>
      </c>
      <c r="BB14" s="92"/>
    </row>
    <row r="15" spans="1:54" x14ac:dyDescent="0.3">
      <c r="A15" s="50"/>
      <c r="B15" s="50"/>
      <c r="C15" s="50"/>
      <c r="D15" s="50"/>
      <c r="E15" s="50" t="s">
        <v>84</v>
      </c>
      <c r="F15" s="50"/>
      <c r="G15" s="50"/>
      <c r="H15" s="51">
        <f t="shared" ref="H15:P15" si="2">ROUND(SUM(H4:H14),5)</f>
        <v>0</v>
      </c>
      <c r="I15" s="51">
        <f t="shared" si="2"/>
        <v>1801.7</v>
      </c>
      <c r="J15" s="51">
        <f t="shared" si="2"/>
        <v>0</v>
      </c>
      <c r="K15" s="51">
        <f t="shared" si="2"/>
        <v>38750.339999999997</v>
      </c>
      <c r="L15" s="51">
        <f t="shared" si="2"/>
        <v>-1558.69</v>
      </c>
      <c r="M15" s="51">
        <f t="shared" si="2"/>
        <v>257102.02</v>
      </c>
      <c r="N15" s="51">
        <f t="shared" si="2"/>
        <v>170796.06</v>
      </c>
      <c r="O15" s="51">
        <f t="shared" si="2"/>
        <v>14354.16</v>
      </c>
      <c r="P15" s="51">
        <f t="shared" si="2"/>
        <v>5586.23</v>
      </c>
      <c r="Q15" s="51">
        <f>ROUND(SUM(Q4:Q14),5)</f>
        <v>69317.960000000006</v>
      </c>
      <c r="R15" s="51">
        <f>ROUND(SUM(R4:R14),5)</f>
        <v>264960.24</v>
      </c>
      <c r="S15" s="51">
        <f>ROUND(SUM(S4:S14),5)</f>
        <v>20943.740000000002</v>
      </c>
      <c r="T15" s="51"/>
      <c r="U15" s="51">
        <f t="shared" si="0"/>
        <v>842053.76</v>
      </c>
      <c r="V15" s="51">
        <f>ROUND(SUM(V4:V14),5)</f>
        <v>766800</v>
      </c>
      <c r="W15" s="51">
        <f>ROUND(SUM(W4:W14),5)</f>
        <v>800000</v>
      </c>
      <c r="X15" s="68" t="s">
        <v>304</v>
      </c>
      <c r="AB15" s="86"/>
      <c r="AC15" s="86"/>
      <c r="AD15" s="86"/>
      <c r="AE15" s="86" t="s">
        <v>85</v>
      </c>
      <c r="AF15" s="86"/>
      <c r="AG15" s="86"/>
      <c r="AH15" s="87"/>
      <c r="AI15" s="87"/>
      <c r="AJ15" s="87"/>
      <c r="AK15" s="87"/>
      <c r="AL15" s="87">
        <f t="shared" ref="AL15:AW15" si="3">ROUND(SUM(AL4:AL14),5)</f>
        <v>-4000.33</v>
      </c>
      <c r="AM15" s="87">
        <f t="shared" si="3"/>
        <v>0</v>
      </c>
      <c r="AN15" s="87">
        <f t="shared" si="3"/>
        <v>0</v>
      </c>
      <c r="AO15" s="87">
        <f t="shared" si="3"/>
        <v>30288.21</v>
      </c>
      <c r="AP15" s="87">
        <f t="shared" si="3"/>
        <v>0</v>
      </c>
      <c r="AQ15" s="87">
        <f t="shared" si="3"/>
        <v>199846.88</v>
      </c>
      <c r="AR15" s="87">
        <f t="shared" si="3"/>
        <v>212947.13</v>
      </c>
      <c r="AS15" s="87">
        <f t="shared" si="3"/>
        <v>3095.51</v>
      </c>
      <c r="AT15" s="87">
        <f t="shared" si="3"/>
        <v>2929.92</v>
      </c>
      <c r="AU15" s="87">
        <f t="shared" si="3"/>
        <v>66007.55</v>
      </c>
      <c r="AV15" s="87">
        <f t="shared" si="3"/>
        <v>200776.27</v>
      </c>
      <c r="AW15" s="87">
        <f t="shared" si="3"/>
        <v>75196.509999999995</v>
      </c>
      <c r="AX15" s="87"/>
      <c r="AY15" s="88">
        <f t="shared" si="1"/>
        <v>787087.65</v>
      </c>
      <c r="AZ15" s="88">
        <f>ROUND(SUM(AZ4:AZ14),5)</f>
        <v>720000</v>
      </c>
      <c r="BA15" s="88">
        <f>ROUND(SUM(BA4:BA14),5)</f>
        <v>766800</v>
      </c>
      <c r="BB15" s="89"/>
    </row>
    <row r="16" spans="1:54" x14ac:dyDescent="0.3">
      <c r="A16" s="50"/>
      <c r="B16" s="50"/>
      <c r="C16" s="50"/>
      <c r="D16" s="50"/>
      <c r="E16" s="50" t="s">
        <v>85</v>
      </c>
      <c r="F16" s="50"/>
      <c r="G16" s="50"/>
      <c r="H16" s="51"/>
      <c r="I16" s="51"/>
      <c r="J16" s="51"/>
      <c r="K16" s="51"/>
      <c r="L16" s="51"/>
      <c r="M16" s="51"/>
      <c r="N16" s="51"/>
      <c r="O16" s="51"/>
      <c r="P16" s="51"/>
      <c r="Q16" s="51"/>
      <c r="R16" s="51"/>
      <c r="S16" s="51"/>
      <c r="T16" s="51"/>
      <c r="U16" s="51"/>
      <c r="V16" s="51"/>
      <c r="W16" s="51"/>
      <c r="AB16" s="86"/>
      <c r="AC16" s="86"/>
      <c r="AD16" s="86"/>
      <c r="AE16" s="86"/>
      <c r="AF16" s="86"/>
      <c r="AG16" s="86"/>
      <c r="AH16" s="87"/>
      <c r="AI16" s="87"/>
      <c r="AJ16" s="87"/>
      <c r="AK16" s="87"/>
      <c r="AL16" s="87"/>
      <c r="AM16" s="87"/>
      <c r="AN16" s="87"/>
      <c r="AO16" s="87"/>
      <c r="AP16" s="87"/>
      <c r="AQ16" s="87"/>
      <c r="AR16" s="87"/>
      <c r="AS16" s="87"/>
      <c r="AT16" s="87"/>
      <c r="AU16" s="87"/>
      <c r="AV16" s="87"/>
      <c r="AW16" s="87"/>
      <c r="AX16" s="87"/>
      <c r="AY16" s="88"/>
      <c r="AZ16" s="88"/>
      <c r="BA16" s="88"/>
      <c r="BB16" s="89"/>
    </row>
    <row r="17" spans="1:54" x14ac:dyDescent="0.3">
      <c r="A17" s="50"/>
      <c r="B17" s="50"/>
      <c r="C17" s="50"/>
      <c r="D17" s="50"/>
      <c r="E17" s="50"/>
      <c r="F17" s="50" t="s">
        <v>86</v>
      </c>
      <c r="G17" s="50"/>
      <c r="H17" s="51">
        <v>518.41</v>
      </c>
      <c r="I17" s="51">
        <v>535.54999999999995</v>
      </c>
      <c r="J17" s="51">
        <v>500.23</v>
      </c>
      <c r="K17" s="51">
        <v>420.94</v>
      </c>
      <c r="L17" s="51">
        <v>405.16</v>
      </c>
      <c r="M17" s="51">
        <v>400.79</v>
      </c>
      <c r="N17" s="51">
        <v>586.54</v>
      </c>
      <c r="O17" s="51">
        <v>488.6</v>
      </c>
      <c r="P17" s="51">
        <v>447.88</v>
      </c>
      <c r="Q17" s="51">
        <v>638.1</v>
      </c>
      <c r="R17" s="51">
        <v>748.83</v>
      </c>
      <c r="S17" s="51">
        <v>432.04</v>
      </c>
      <c r="T17" s="51"/>
      <c r="U17" s="51">
        <f t="shared" ref="U17:U22" si="4">ROUND(SUM(H17:T17),5)</f>
        <v>6123.07</v>
      </c>
      <c r="V17" s="67">
        <v>10000</v>
      </c>
      <c r="W17" s="67">
        <v>5000</v>
      </c>
      <c r="X17" s="68" t="s">
        <v>292</v>
      </c>
      <c r="AB17" s="86"/>
      <c r="AC17" s="86"/>
      <c r="AD17" s="86"/>
      <c r="AE17" s="86"/>
      <c r="AF17" s="86" t="s">
        <v>86</v>
      </c>
      <c r="AG17" s="86"/>
      <c r="AH17" s="87"/>
      <c r="AI17" s="87"/>
      <c r="AJ17" s="87"/>
      <c r="AK17" s="87"/>
      <c r="AL17" s="87">
        <v>603.74</v>
      </c>
      <c r="AM17" s="87">
        <v>636.47</v>
      </c>
      <c r="AN17" s="87">
        <v>550.29999999999995</v>
      </c>
      <c r="AO17" s="87">
        <v>512.91999999999996</v>
      </c>
      <c r="AP17" s="87">
        <v>505.03</v>
      </c>
      <c r="AQ17" s="87">
        <v>452.33</v>
      </c>
      <c r="AR17" s="87">
        <v>7314.37</v>
      </c>
      <c r="AS17" s="87">
        <v>420.5</v>
      </c>
      <c r="AT17" s="87">
        <v>378.15</v>
      </c>
      <c r="AU17" s="87">
        <v>381.98</v>
      </c>
      <c r="AV17" s="87">
        <v>954.87</v>
      </c>
      <c r="AW17" s="87">
        <v>652.66</v>
      </c>
      <c r="AX17" s="87"/>
      <c r="AY17" s="88">
        <f t="shared" ref="AY17:AY22" si="5">ROUND(SUM(AH17:AX17),5)</f>
        <v>13363.32</v>
      </c>
      <c r="AZ17" s="88">
        <v>4000</v>
      </c>
      <c r="BA17" s="88">
        <v>10000</v>
      </c>
      <c r="BB17" s="89" t="s">
        <v>247</v>
      </c>
    </row>
    <row r="18" spans="1:54" x14ac:dyDescent="0.3">
      <c r="A18" s="50"/>
      <c r="B18" s="50"/>
      <c r="C18" s="50"/>
      <c r="D18" s="50"/>
      <c r="E18" s="50"/>
      <c r="F18" s="50" t="s">
        <v>87</v>
      </c>
      <c r="G18" s="50"/>
      <c r="H18" s="51">
        <v>16526.73</v>
      </c>
      <c r="I18" s="51">
        <v>5579.79</v>
      </c>
      <c r="J18" s="51">
        <v>5481.74</v>
      </c>
      <c r="K18" s="51">
        <v>5047.42</v>
      </c>
      <c r="L18" s="51">
        <v>6660.43</v>
      </c>
      <c r="M18" s="51">
        <v>5928.96</v>
      </c>
      <c r="N18" s="51">
        <v>5063.93</v>
      </c>
      <c r="O18" s="51">
        <v>6238.12</v>
      </c>
      <c r="P18" s="51">
        <v>8630.35</v>
      </c>
      <c r="Q18" s="51">
        <v>3905.15</v>
      </c>
      <c r="R18" s="51">
        <v>7105.54</v>
      </c>
      <c r="S18" s="51">
        <v>0</v>
      </c>
      <c r="T18" s="51"/>
      <c r="U18" s="51">
        <f t="shared" si="4"/>
        <v>76168.160000000003</v>
      </c>
      <c r="V18" s="67">
        <v>50000</v>
      </c>
      <c r="W18" s="67">
        <f>70000-1100</f>
        <v>68900</v>
      </c>
      <c r="X18" s="68" t="s">
        <v>293</v>
      </c>
      <c r="AB18" s="86"/>
      <c r="AC18" s="86"/>
      <c r="AD18" s="86"/>
      <c r="AE18" s="86"/>
      <c r="AF18" s="86" t="s">
        <v>87</v>
      </c>
      <c r="AG18" s="86"/>
      <c r="AH18" s="87"/>
      <c r="AI18" s="87"/>
      <c r="AJ18" s="87"/>
      <c r="AK18" s="87"/>
      <c r="AL18" s="87">
        <v>4709.55</v>
      </c>
      <c r="AM18" s="87">
        <v>9565.7900000000009</v>
      </c>
      <c r="AN18" s="87">
        <v>-941.62</v>
      </c>
      <c r="AO18" s="87">
        <v>8144.95</v>
      </c>
      <c r="AP18" s="87">
        <v>6079.05</v>
      </c>
      <c r="AQ18" s="87">
        <v>4930.87</v>
      </c>
      <c r="AR18" s="87">
        <v>4937.05</v>
      </c>
      <c r="AS18" s="87">
        <v>4807.21</v>
      </c>
      <c r="AT18" s="87">
        <v>4995.72</v>
      </c>
      <c r="AU18" s="87">
        <v>6212.36</v>
      </c>
      <c r="AV18" s="87">
        <v>5047.13</v>
      </c>
      <c r="AW18" s="87">
        <v>5522.27</v>
      </c>
      <c r="AX18" s="87"/>
      <c r="AY18" s="88">
        <f t="shared" si="5"/>
        <v>64010.33</v>
      </c>
      <c r="AZ18" s="88">
        <v>40000</v>
      </c>
      <c r="BA18" s="88">
        <v>50000</v>
      </c>
      <c r="BB18" s="89"/>
    </row>
    <row r="19" spans="1:54" x14ac:dyDescent="0.3">
      <c r="A19" s="50"/>
      <c r="B19" s="50"/>
      <c r="C19" s="50"/>
      <c r="D19" s="50"/>
      <c r="E19" s="50"/>
      <c r="F19" s="50" t="s">
        <v>88</v>
      </c>
      <c r="G19" s="50"/>
      <c r="H19" s="51">
        <v>0</v>
      </c>
      <c r="I19" s="51">
        <v>0</v>
      </c>
      <c r="J19" s="51">
        <v>526.76</v>
      </c>
      <c r="K19" s="51">
        <v>95.47</v>
      </c>
      <c r="L19" s="51">
        <v>0</v>
      </c>
      <c r="M19" s="51">
        <v>432.49</v>
      </c>
      <c r="N19" s="51">
        <v>60.53</v>
      </c>
      <c r="O19" s="51">
        <v>0</v>
      </c>
      <c r="P19" s="51">
        <v>579.15</v>
      </c>
      <c r="Q19" s="51">
        <v>26.9</v>
      </c>
      <c r="R19" s="51">
        <v>0</v>
      </c>
      <c r="S19" s="51">
        <v>0</v>
      </c>
      <c r="T19" s="51"/>
      <c r="U19" s="51">
        <f t="shared" si="4"/>
        <v>1721.3</v>
      </c>
      <c r="V19" s="67">
        <v>10000</v>
      </c>
      <c r="W19" s="67">
        <v>5000</v>
      </c>
      <c r="AB19" s="86"/>
      <c r="AC19" s="86"/>
      <c r="AD19" s="86"/>
      <c r="AE19" s="86"/>
      <c r="AF19" s="86" t="s">
        <v>88</v>
      </c>
      <c r="AG19" s="86"/>
      <c r="AH19" s="87"/>
      <c r="AI19" s="87"/>
      <c r="AJ19" s="87"/>
      <c r="AK19" s="87"/>
      <c r="AL19" s="87">
        <v>0</v>
      </c>
      <c r="AM19" s="87">
        <v>0</v>
      </c>
      <c r="AN19" s="87">
        <v>2382.91</v>
      </c>
      <c r="AO19" s="87">
        <v>164.98</v>
      </c>
      <c r="AP19" s="87">
        <v>0</v>
      </c>
      <c r="AQ19" s="87">
        <v>1779.4</v>
      </c>
      <c r="AR19" s="87">
        <v>208.6</v>
      </c>
      <c r="AS19" s="87">
        <v>0</v>
      </c>
      <c r="AT19" s="87">
        <v>1194.3699999999999</v>
      </c>
      <c r="AU19" s="87">
        <v>83.37</v>
      </c>
      <c r="AV19" s="87">
        <v>0</v>
      </c>
      <c r="AW19" s="87">
        <v>5126.62</v>
      </c>
      <c r="AX19" s="87"/>
      <c r="AY19" s="88">
        <f t="shared" si="5"/>
        <v>10940.25</v>
      </c>
      <c r="AZ19" s="88">
        <v>13000</v>
      </c>
      <c r="BA19" s="88">
        <v>10000</v>
      </c>
      <c r="BB19" s="89" t="s">
        <v>247</v>
      </c>
    </row>
    <row r="20" spans="1:54" x14ac:dyDescent="0.3">
      <c r="A20" s="50"/>
      <c r="B20" s="50"/>
      <c r="C20" s="50"/>
      <c r="D20" s="50"/>
      <c r="E20" s="50"/>
      <c r="F20" s="50" t="s">
        <v>89</v>
      </c>
      <c r="G20" s="50"/>
      <c r="H20" s="51">
        <v>0</v>
      </c>
      <c r="I20" s="51">
        <v>0</v>
      </c>
      <c r="J20" s="51">
        <v>28.45</v>
      </c>
      <c r="K20" s="51">
        <v>5.08</v>
      </c>
      <c r="L20" s="51">
        <v>0</v>
      </c>
      <c r="M20" s="51">
        <v>23.02</v>
      </c>
      <c r="N20" s="51">
        <v>5.04</v>
      </c>
      <c r="O20" s="51">
        <v>0</v>
      </c>
      <c r="P20" s="51">
        <v>48.23</v>
      </c>
      <c r="Q20" s="51">
        <v>2.2000000000000002</v>
      </c>
      <c r="R20" s="51">
        <v>0</v>
      </c>
      <c r="S20" s="51">
        <v>0</v>
      </c>
      <c r="T20" s="51"/>
      <c r="U20" s="51">
        <f t="shared" si="4"/>
        <v>112.02</v>
      </c>
      <c r="V20" s="67">
        <v>1000</v>
      </c>
      <c r="W20" s="67">
        <v>100</v>
      </c>
      <c r="AB20" s="86"/>
      <c r="AC20" s="86"/>
      <c r="AD20" s="86"/>
      <c r="AE20" s="86"/>
      <c r="AF20" s="86" t="s">
        <v>89</v>
      </c>
      <c r="AG20" s="86"/>
      <c r="AH20" s="87"/>
      <c r="AI20" s="87"/>
      <c r="AJ20" s="87"/>
      <c r="AK20" s="87"/>
      <c r="AL20" s="87">
        <v>-854</v>
      </c>
      <c r="AM20" s="87">
        <v>0</v>
      </c>
      <c r="AN20" s="87">
        <v>541.74</v>
      </c>
      <c r="AO20" s="87">
        <v>38.130000000000003</v>
      </c>
      <c r="AP20" s="87">
        <v>0</v>
      </c>
      <c r="AQ20" s="87">
        <v>411.31</v>
      </c>
      <c r="AR20" s="87">
        <v>53.48</v>
      </c>
      <c r="AS20" s="87">
        <v>0</v>
      </c>
      <c r="AT20" s="87">
        <v>306.22000000000003</v>
      </c>
      <c r="AU20" s="87">
        <v>19.61</v>
      </c>
      <c r="AV20" s="87">
        <v>0</v>
      </c>
      <c r="AW20" s="87">
        <v>816.59</v>
      </c>
      <c r="AX20" s="87"/>
      <c r="AY20" s="88">
        <f t="shared" si="5"/>
        <v>1333.08</v>
      </c>
      <c r="AZ20" s="88">
        <v>3000</v>
      </c>
      <c r="BA20" s="88">
        <v>1000</v>
      </c>
      <c r="BB20" s="89" t="s">
        <v>247</v>
      </c>
    </row>
    <row r="21" spans="1:54" ht="15" thickBot="1" x14ac:dyDescent="0.35">
      <c r="A21" s="50"/>
      <c r="B21" s="50"/>
      <c r="C21" s="50"/>
      <c r="D21" s="50"/>
      <c r="E21" s="50"/>
      <c r="F21" s="50" t="s">
        <v>90</v>
      </c>
      <c r="G21" s="50"/>
      <c r="H21" s="52">
        <v>0</v>
      </c>
      <c r="I21" s="52">
        <v>0</v>
      </c>
      <c r="J21" s="52">
        <v>1831.67</v>
      </c>
      <c r="K21" s="52">
        <v>323.87</v>
      </c>
      <c r="L21" s="52">
        <v>0</v>
      </c>
      <c r="M21" s="52">
        <v>1467.17</v>
      </c>
      <c r="N21" s="52">
        <v>200.19</v>
      </c>
      <c r="O21" s="52">
        <v>0</v>
      </c>
      <c r="P21" s="52">
        <v>0</v>
      </c>
      <c r="Q21" s="52">
        <v>65.45</v>
      </c>
      <c r="R21" s="52">
        <v>0</v>
      </c>
      <c r="S21" s="52">
        <v>2276.58</v>
      </c>
      <c r="T21" s="52"/>
      <c r="U21" s="52">
        <f t="shared" si="4"/>
        <v>6164.93</v>
      </c>
      <c r="V21" s="69">
        <v>20000</v>
      </c>
      <c r="W21" s="69">
        <v>10000</v>
      </c>
      <c r="X21" s="68" t="s">
        <v>291</v>
      </c>
      <c r="AB21" s="86"/>
      <c r="AC21" s="86"/>
      <c r="AD21" s="86"/>
      <c r="AE21" s="86" t="s">
        <v>91</v>
      </c>
      <c r="AF21" s="86" t="s">
        <v>90</v>
      </c>
      <c r="AG21" s="86"/>
      <c r="AH21" s="90"/>
      <c r="AI21" s="90"/>
      <c r="AJ21" s="90"/>
      <c r="AK21" s="90"/>
      <c r="AL21" s="90">
        <v>-126</v>
      </c>
      <c r="AM21" s="90">
        <v>0</v>
      </c>
      <c r="AN21" s="90">
        <v>3663.49</v>
      </c>
      <c r="AO21" s="90">
        <v>240.94</v>
      </c>
      <c r="AP21" s="90">
        <v>0</v>
      </c>
      <c r="AQ21" s="90">
        <v>2598.63</v>
      </c>
      <c r="AR21" s="90">
        <v>304.14999999999998</v>
      </c>
      <c r="AS21" s="90">
        <v>0</v>
      </c>
      <c r="AT21" s="90">
        <v>1741.43</v>
      </c>
      <c r="AU21" s="90">
        <v>99.78</v>
      </c>
      <c r="AV21" s="90">
        <v>0</v>
      </c>
      <c r="AW21" s="90">
        <v>6128.28</v>
      </c>
      <c r="AX21" s="90"/>
      <c r="AY21" s="91">
        <f t="shared" si="5"/>
        <v>14650.7</v>
      </c>
      <c r="AZ21" s="91">
        <v>30000</v>
      </c>
      <c r="BA21" s="91">
        <v>20000</v>
      </c>
      <c r="BB21" s="92" t="s">
        <v>247</v>
      </c>
    </row>
    <row r="22" spans="1:54" x14ac:dyDescent="0.3">
      <c r="A22" s="50"/>
      <c r="B22" s="50"/>
      <c r="C22" s="50"/>
      <c r="D22" s="50"/>
      <c r="E22" s="50" t="s">
        <v>91</v>
      </c>
      <c r="F22" s="50"/>
      <c r="G22" s="50"/>
      <c r="H22" s="51">
        <f t="shared" ref="H22:P22" si="6">ROUND(SUM(H16:H21),5)</f>
        <v>17045.14</v>
      </c>
      <c r="I22" s="51">
        <f t="shared" si="6"/>
        <v>6115.34</v>
      </c>
      <c r="J22" s="51">
        <f t="shared" si="6"/>
        <v>8368.85</v>
      </c>
      <c r="K22" s="51">
        <f t="shared" si="6"/>
        <v>5892.78</v>
      </c>
      <c r="L22" s="51">
        <f t="shared" si="6"/>
        <v>7065.59</v>
      </c>
      <c r="M22" s="51">
        <f t="shared" si="6"/>
        <v>8252.43</v>
      </c>
      <c r="N22" s="51">
        <f t="shared" si="6"/>
        <v>5916.23</v>
      </c>
      <c r="O22" s="51">
        <f t="shared" si="6"/>
        <v>6726.72</v>
      </c>
      <c r="P22" s="51">
        <f t="shared" si="6"/>
        <v>9705.61</v>
      </c>
      <c r="Q22" s="51">
        <f>ROUND(SUM(Q16:Q21),5)</f>
        <v>4637.8</v>
      </c>
      <c r="R22" s="51">
        <f>ROUND(SUM(R16:R21),5)</f>
        <v>7854.37</v>
      </c>
      <c r="S22" s="51">
        <f>ROUND(SUM(S16:S21),5)</f>
        <v>2708.62</v>
      </c>
      <c r="T22" s="51"/>
      <c r="U22" s="51">
        <f t="shared" si="4"/>
        <v>90289.48</v>
      </c>
      <c r="V22" s="51">
        <f>ROUND(SUM(V16:V21),5)</f>
        <v>91000</v>
      </c>
      <c r="W22" s="51">
        <f>ROUND(SUM(W16:W21),5)</f>
        <v>89000</v>
      </c>
      <c r="AB22" s="86"/>
      <c r="AC22" s="86"/>
      <c r="AD22" s="86"/>
      <c r="AE22" s="86" t="s">
        <v>92</v>
      </c>
      <c r="AF22" s="86"/>
      <c r="AG22" s="86"/>
      <c r="AH22" s="87"/>
      <c r="AI22" s="87"/>
      <c r="AJ22" s="87"/>
      <c r="AK22" s="87"/>
      <c r="AL22" s="87">
        <f t="shared" ref="AL22:AW22" si="7">ROUND(SUM(AL16:AL21),5)</f>
        <v>4333.29</v>
      </c>
      <c r="AM22" s="87">
        <f t="shared" si="7"/>
        <v>10202.26</v>
      </c>
      <c r="AN22" s="87">
        <f t="shared" si="7"/>
        <v>6196.82</v>
      </c>
      <c r="AO22" s="87">
        <f t="shared" si="7"/>
        <v>9101.92</v>
      </c>
      <c r="AP22" s="87">
        <f t="shared" si="7"/>
        <v>6584.08</v>
      </c>
      <c r="AQ22" s="87">
        <f t="shared" si="7"/>
        <v>10172.540000000001</v>
      </c>
      <c r="AR22" s="87">
        <f t="shared" si="7"/>
        <v>12817.65</v>
      </c>
      <c r="AS22" s="87">
        <f t="shared" si="7"/>
        <v>5227.71</v>
      </c>
      <c r="AT22" s="87">
        <f t="shared" si="7"/>
        <v>8615.89</v>
      </c>
      <c r="AU22" s="87">
        <f t="shared" si="7"/>
        <v>6797.1</v>
      </c>
      <c r="AV22" s="87">
        <f t="shared" si="7"/>
        <v>6002</v>
      </c>
      <c r="AW22" s="87">
        <f t="shared" si="7"/>
        <v>18246.419999999998</v>
      </c>
      <c r="AX22" s="87"/>
      <c r="AY22" s="88">
        <f t="shared" si="5"/>
        <v>104297.68</v>
      </c>
      <c r="AZ22" s="88">
        <f>ROUND(SUM(AZ16:AZ21),5)</f>
        <v>90000</v>
      </c>
      <c r="BA22" s="88">
        <f>ROUND(SUM(BA16:BA21),5)</f>
        <v>91000</v>
      </c>
      <c r="BB22" s="89"/>
    </row>
    <row r="23" spans="1:54" x14ac:dyDescent="0.3">
      <c r="A23" s="50"/>
      <c r="B23" s="50"/>
      <c r="C23" s="50"/>
      <c r="D23" s="50"/>
      <c r="E23" s="50" t="s">
        <v>92</v>
      </c>
      <c r="F23" s="50"/>
      <c r="G23" s="50"/>
      <c r="H23" s="51"/>
      <c r="I23" s="51"/>
      <c r="J23" s="51"/>
      <c r="K23" s="51"/>
      <c r="L23" s="51"/>
      <c r="M23" s="51"/>
      <c r="N23" s="51"/>
      <c r="O23" s="51"/>
      <c r="P23" s="51"/>
      <c r="Q23" s="51"/>
      <c r="R23" s="51"/>
      <c r="S23" s="51"/>
      <c r="T23" s="51"/>
      <c r="U23" s="51"/>
      <c r="V23" s="51"/>
      <c r="W23" s="51"/>
      <c r="AB23" s="86"/>
      <c r="AC23" s="86"/>
      <c r="AD23" s="86"/>
      <c r="AE23" s="86"/>
      <c r="AF23" s="86"/>
      <c r="AG23" s="86"/>
      <c r="AH23" s="87"/>
      <c r="AI23" s="87"/>
      <c r="AJ23" s="87"/>
      <c r="AK23" s="87"/>
      <c r="AL23" s="87"/>
      <c r="AM23" s="87"/>
      <c r="AN23" s="87"/>
      <c r="AO23" s="87"/>
      <c r="AP23" s="87"/>
      <c r="AQ23" s="87"/>
      <c r="AR23" s="87"/>
      <c r="AS23" s="87"/>
      <c r="AT23" s="87"/>
      <c r="AU23" s="87"/>
      <c r="AV23" s="87"/>
      <c r="AW23" s="87"/>
      <c r="AX23" s="87"/>
      <c r="AY23" s="88"/>
      <c r="AZ23" s="88"/>
      <c r="BA23" s="88"/>
      <c r="BB23" s="89"/>
    </row>
    <row r="24" spans="1:54" x14ac:dyDescent="0.3">
      <c r="A24" s="50"/>
      <c r="B24" s="50"/>
      <c r="C24" s="50"/>
      <c r="D24" s="50"/>
      <c r="E24" s="50"/>
      <c r="F24" s="50" t="s">
        <v>93</v>
      </c>
      <c r="G24" s="50"/>
      <c r="H24" s="51">
        <v>13100</v>
      </c>
      <c r="I24" s="51">
        <v>5230</v>
      </c>
      <c r="J24" s="51">
        <v>30592</v>
      </c>
      <c r="K24" s="51">
        <v>22305</v>
      </c>
      <c r="L24" s="51">
        <v>6000</v>
      </c>
      <c r="M24" s="51">
        <v>8400</v>
      </c>
      <c r="N24" s="51">
        <v>14960</v>
      </c>
      <c r="O24" s="51">
        <v>23490</v>
      </c>
      <c r="P24" s="51">
        <v>22920</v>
      </c>
      <c r="Q24" s="51">
        <v>9150</v>
      </c>
      <c r="R24" s="51">
        <v>850</v>
      </c>
      <c r="S24" s="51">
        <f>12370.66-7000</f>
        <v>5370.66</v>
      </c>
      <c r="T24" s="51"/>
      <c r="U24" s="51">
        <f t="shared" ref="U24:U35" si="8">ROUND(SUM(H24:T24),5)</f>
        <v>162367.66</v>
      </c>
      <c r="V24" s="67">
        <v>165000</v>
      </c>
      <c r="W24" s="67">
        <f>165000-20000</f>
        <v>145000</v>
      </c>
      <c r="AB24" s="86"/>
      <c r="AC24" s="86"/>
      <c r="AD24" s="86"/>
      <c r="AE24" s="86"/>
      <c r="AF24" s="86" t="s">
        <v>93</v>
      </c>
      <c r="AG24" s="86"/>
      <c r="AH24" s="87"/>
      <c r="AI24" s="87"/>
      <c r="AJ24" s="87"/>
      <c r="AK24" s="87"/>
      <c r="AL24" s="87">
        <v>8225</v>
      </c>
      <c r="AM24" s="87">
        <v>10866.67</v>
      </c>
      <c r="AN24" s="87">
        <v>9500</v>
      </c>
      <c r="AO24" s="87">
        <v>25066.67</v>
      </c>
      <c r="AP24" s="87">
        <v>7800</v>
      </c>
      <c r="AQ24" s="87">
        <v>20950</v>
      </c>
      <c r="AR24" s="87">
        <v>19000</v>
      </c>
      <c r="AS24" s="87">
        <v>24450</v>
      </c>
      <c r="AT24" s="87">
        <v>22500</v>
      </c>
      <c r="AU24" s="87">
        <v>12325</v>
      </c>
      <c r="AV24" s="87">
        <v>5000</v>
      </c>
      <c r="AW24" s="87">
        <v>10643</v>
      </c>
      <c r="AX24" s="87"/>
      <c r="AY24" s="88">
        <f t="shared" ref="AY24:AY35" si="9">ROUND(SUM(AH24:AX24),5)</f>
        <v>176326.34</v>
      </c>
      <c r="AZ24" s="88">
        <v>120000</v>
      </c>
      <c r="BA24" s="88">
        <v>165000</v>
      </c>
      <c r="BB24" s="89" t="s">
        <v>247</v>
      </c>
    </row>
    <row r="25" spans="1:54" x14ac:dyDescent="0.3">
      <c r="A25" s="50"/>
      <c r="B25" s="50"/>
      <c r="C25" s="50"/>
      <c r="D25" s="50"/>
      <c r="E25" s="50"/>
      <c r="F25" s="50" t="s">
        <v>94</v>
      </c>
      <c r="G25" s="50"/>
      <c r="H25" s="51">
        <v>3300</v>
      </c>
      <c r="I25" s="51">
        <v>500</v>
      </c>
      <c r="J25" s="51">
        <v>3000</v>
      </c>
      <c r="K25" s="51">
        <v>1250</v>
      </c>
      <c r="L25" s="51">
        <v>1250</v>
      </c>
      <c r="M25" s="51">
        <v>1500</v>
      </c>
      <c r="N25" s="51">
        <v>1700</v>
      </c>
      <c r="O25" s="51">
        <v>1750</v>
      </c>
      <c r="P25" s="51">
        <v>1860</v>
      </c>
      <c r="Q25" s="51">
        <v>1800</v>
      </c>
      <c r="R25" s="51">
        <v>250</v>
      </c>
      <c r="S25" s="51">
        <v>1650</v>
      </c>
      <c r="T25" s="51"/>
      <c r="U25" s="51">
        <f t="shared" si="8"/>
        <v>19810</v>
      </c>
      <c r="V25" s="67">
        <v>18000</v>
      </c>
      <c r="W25" s="67">
        <v>18000</v>
      </c>
      <c r="AB25" s="86"/>
      <c r="AC25" s="86"/>
      <c r="AD25" s="86"/>
      <c r="AE25" s="86"/>
      <c r="AF25" s="86" t="s">
        <v>94</v>
      </c>
      <c r="AG25" s="86"/>
      <c r="AH25" s="87"/>
      <c r="AI25" s="87"/>
      <c r="AJ25" s="87"/>
      <c r="AK25" s="87"/>
      <c r="AL25" s="87">
        <v>1200</v>
      </c>
      <c r="AM25" s="87">
        <v>1410</v>
      </c>
      <c r="AN25" s="87">
        <v>1250</v>
      </c>
      <c r="AO25" s="87">
        <v>2500</v>
      </c>
      <c r="AP25" s="87">
        <v>500</v>
      </c>
      <c r="AQ25" s="87">
        <v>2000</v>
      </c>
      <c r="AR25" s="87">
        <v>1250</v>
      </c>
      <c r="AS25" s="87">
        <v>1910</v>
      </c>
      <c r="AT25" s="87">
        <v>2500</v>
      </c>
      <c r="AU25" s="87">
        <v>1450</v>
      </c>
      <c r="AV25" s="87">
        <v>1250</v>
      </c>
      <c r="AW25" s="87">
        <v>750</v>
      </c>
      <c r="AX25" s="87"/>
      <c r="AY25" s="88">
        <f t="shared" si="9"/>
        <v>17970</v>
      </c>
      <c r="AZ25" s="88">
        <v>12000</v>
      </c>
      <c r="BA25" s="88">
        <v>18000</v>
      </c>
      <c r="BB25" s="89"/>
    </row>
    <row r="26" spans="1:54" x14ac:dyDescent="0.3">
      <c r="A26" s="50"/>
      <c r="B26" s="50"/>
      <c r="C26" s="50"/>
      <c r="D26" s="50"/>
      <c r="E26" s="50"/>
      <c r="F26" s="50" t="s">
        <v>230</v>
      </c>
      <c r="G26" s="50"/>
      <c r="H26" s="51">
        <v>0</v>
      </c>
      <c r="I26" s="51">
        <v>230</v>
      </c>
      <c r="J26" s="51">
        <v>892</v>
      </c>
      <c r="K26" s="51">
        <v>690</v>
      </c>
      <c r="L26" s="51">
        <v>0</v>
      </c>
      <c r="M26" s="51">
        <v>460</v>
      </c>
      <c r="N26" s="51">
        <v>460</v>
      </c>
      <c r="O26" s="51">
        <v>690</v>
      </c>
      <c r="P26" s="51">
        <v>920</v>
      </c>
      <c r="Q26" s="51">
        <v>230</v>
      </c>
      <c r="R26" s="51">
        <v>0</v>
      </c>
      <c r="S26" s="51">
        <v>455</v>
      </c>
      <c r="T26" s="51"/>
      <c r="U26" s="51">
        <f t="shared" si="8"/>
        <v>5027</v>
      </c>
      <c r="V26" s="67">
        <v>3000</v>
      </c>
      <c r="W26" s="67">
        <v>3000</v>
      </c>
      <c r="AB26" s="86"/>
      <c r="AC26" s="86"/>
      <c r="AD26" s="86"/>
      <c r="AE26" s="86"/>
      <c r="AF26" s="86" t="s">
        <v>230</v>
      </c>
      <c r="AG26" s="86"/>
      <c r="AH26" s="87"/>
      <c r="AI26" s="87"/>
      <c r="AJ26" s="87"/>
      <c r="AK26" s="87"/>
      <c r="AL26" s="87">
        <v>0</v>
      </c>
      <c r="AM26" s="87">
        <v>0</v>
      </c>
      <c r="AN26" s="87">
        <v>0</v>
      </c>
      <c r="AO26" s="87">
        <v>0</v>
      </c>
      <c r="AP26" s="87">
        <v>0</v>
      </c>
      <c r="AQ26" s="87">
        <v>450</v>
      </c>
      <c r="AR26" s="87">
        <v>0</v>
      </c>
      <c r="AS26" s="87">
        <v>450</v>
      </c>
      <c r="AT26" s="87">
        <v>0</v>
      </c>
      <c r="AU26" s="87">
        <v>225</v>
      </c>
      <c r="AV26" s="87">
        <v>0</v>
      </c>
      <c r="AW26" s="87">
        <v>0</v>
      </c>
      <c r="AX26" s="87"/>
      <c r="AY26" s="88">
        <f t="shared" si="9"/>
        <v>1125</v>
      </c>
      <c r="AZ26" s="88">
        <v>0</v>
      </c>
      <c r="BA26" s="88">
        <v>3000</v>
      </c>
      <c r="BB26" s="89"/>
    </row>
    <row r="27" spans="1:54" x14ac:dyDescent="0.3">
      <c r="A27" s="50"/>
      <c r="B27" s="50"/>
      <c r="C27" s="50"/>
      <c r="D27" s="50"/>
      <c r="E27" s="50"/>
      <c r="F27" s="50" t="s">
        <v>95</v>
      </c>
      <c r="G27" s="50"/>
      <c r="H27" s="51">
        <v>3750</v>
      </c>
      <c r="I27" s="51">
        <v>1950</v>
      </c>
      <c r="J27" s="51">
        <v>8750</v>
      </c>
      <c r="K27" s="51">
        <v>4300</v>
      </c>
      <c r="L27" s="51">
        <v>1800</v>
      </c>
      <c r="M27" s="51">
        <v>4700</v>
      </c>
      <c r="N27" s="51">
        <v>5300</v>
      </c>
      <c r="O27" s="51">
        <v>3600</v>
      </c>
      <c r="P27" s="51">
        <v>7600</v>
      </c>
      <c r="Q27" s="51">
        <v>6250</v>
      </c>
      <c r="R27" s="51">
        <v>1000</v>
      </c>
      <c r="S27" s="51">
        <f>6100-4000</f>
        <v>2100</v>
      </c>
      <c r="T27" s="51"/>
      <c r="U27" s="51">
        <f t="shared" si="8"/>
        <v>51100</v>
      </c>
      <c r="V27" s="67">
        <v>47000</v>
      </c>
      <c r="W27" s="67">
        <f>47000-10000</f>
        <v>37000</v>
      </c>
      <c r="AB27" s="86"/>
      <c r="AC27" s="86"/>
      <c r="AD27" s="86"/>
      <c r="AE27" s="86"/>
      <c r="AF27" s="86" t="s">
        <v>95</v>
      </c>
      <c r="AG27" s="86"/>
      <c r="AH27" s="87"/>
      <c r="AI27" s="87"/>
      <c r="AJ27" s="87"/>
      <c r="AK27" s="87"/>
      <c r="AL27" s="87">
        <v>3650</v>
      </c>
      <c r="AM27" s="87">
        <v>3250</v>
      </c>
      <c r="AN27" s="87">
        <v>2800</v>
      </c>
      <c r="AO27" s="87">
        <v>6100</v>
      </c>
      <c r="AP27" s="87">
        <v>100</v>
      </c>
      <c r="AQ27" s="87">
        <v>4900</v>
      </c>
      <c r="AR27" s="87">
        <v>3500</v>
      </c>
      <c r="AS27" s="87">
        <v>7650</v>
      </c>
      <c r="AT27" s="87">
        <v>8000</v>
      </c>
      <c r="AU27" s="87">
        <v>3700</v>
      </c>
      <c r="AV27" s="87">
        <v>5150</v>
      </c>
      <c r="AW27" s="87">
        <v>2550</v>
      </c>
      <c r="AX27" s="87"/>
      <c r="AY27" s="88">
        <f t="shared" si="9"/>
        <v>51350</v>
      </c>
      <c r="AZ27" s="88">
        <v>30000</v>
      </c>
      <c r="BA27" s="88">
        <v>47000</v>
      </c>
      <c r="BB27" s="89"/>
    </row>
    <row r="28" spans="1:54" x14ac:dyDescent="0.3">
      <c r="A28" s="50"/>
      <c r="B28" s="50"/>
      <c r="C28" s="50"/>
      <c r="D28" s="50"/>
      <c r="E28" s="50"/>
      <c r="F28" s="50" t="s">
        <v>96</v>
      </c>
      <c r="G28" s="50"/>
      <c r="H28" s="51">
        <v>20500</v>
      </c>
      <c r="I28" s="51">
        <v>3770</v>
      </c>
      <c r="J28" s="51">
        <v>21408</v>
      </c>
      <c r="K28" s="51">
        <v>-505</v>
      </c>
      <c r="L28" s="51">
        <v>10500</v>
      </c>
      <c r="M28" s="51">
        <v>6000</v>
      </c>
      <c r="N28" s="51">
        <v>10690</v>
      </c>
      <c r="O28" s="51">
        <v>-990</v>
      </c>
      <c r="P28" s="51">
        <v>13230</v>
      </c>
      <c r="Q28" s="51">
        <v>4000</v>
      </c>
      <c r="R28" s="51">
        <v>800</v>
      </c>
      <c r="S28" s="51">
        <f>9282-3737.66</f>
        <v>5544.34</v>
      </c>
      <c r="T28" s="51"/>
      <c r="U28" s="51">
        <f t="shared" si="8"/>
        <v>94947.34</v>
      </c>
      <c r="V28" s="67">
        <v>70000</v>
      </c>
      <c r="W28" s="67">
        <f>70000-13200</f>
        <v>56800</v>
      </c>
      <c r="AB28" s="86"/>
      <c r="AC28" s="86"/>
      <c r="AD28" s="86"/>
      <c r="AE28" s="86"/>
      <c r="AF28" s="86" t="s">
        <v>96</v>
      </c>
      <c r="AG28" s="86"/>
      <c r="AH28" s="87"/>
      <c r="AI28" s="87"/>
      <c r="AJ28" s="87"/>
      <c r="AK28" s="87"/>
      <c r="AL28" s="87">
        <v>2500</v>
      </c>
      <c r="AM28" s="87">
        <v>6083.33</v>
      </c>
      <c r="AN28" s="87">
        <v>16450</v>
      </c>
      <c r="AO28" s="87">
        <v>17583.330000000002</v>
      </c>
      <c r="AP28" s="87">
        <v>0</v>
      </c>
      <c r="AQ28" s="87">
        <v>3050</v>
      </c>
      <c r="AR28" s="87">
        <v>4000</v>
      </c>
      <c r="AS28" s="87">
        <v>9050</v>
      </c>
      <c r="AT28" s="87">
        <v>16650</v>
      </c>
      <c r="AU28" s="87">
        <v>2675</v>
      </c>
      <c r="AV28" s="87">
        <v>1725</v>
      </c>
      <c r="AW28" s="87">
        <v>5357</v>
      </c>
      <c r="AX28" s="87"/>
      <c r="AY28" s="88">
        <f t="shared" si="9"/>
        <v>85123.66</v>
      </c>
      <c r="AZ28" s="88">
        <v>67000</v>
      </c>
      <c r="BA28" s="88">
        <v>70000</v>
      </c>
      <c r="BB28" s="89"/>
    </row>
    <row r="29" spans="1:54" x14ac:dyDescent="0.3">
      <c r="A29" s="50"/>
      <c r="B29" s="50"/>
      <c r="C29" s="50"/>
      <c r="D29" s="50"/>
      <c r="E29" s="50"/>
      <c r="F29" s="50" t="s">
        <v>97</v>
      </c>
      <c r="G29" s="50"/>
      <c r="H29" s="51">
        <v>1100</v>
      </c>
      <c r="I29" s="51">
        <v>0</v>
      </c>
      <c r="J29" s="51">
        <v>4300</v>
      </c>
      <c r="K29" s="51">
        <v>7900</v>
      </c>
      <c r="L29" s="51">
        <v>0</v>
      </c>
      <c r="M29" s="51">
        <v>5400</v>
      </c>
      <c r="N29" s="51">
        <v>3600</v>
      </c>
      <c r="O29" s="51">
        <v>5200</v>
      </c>
      <c r="P29" s="51">
        <v>3600</v>
      </c>
      <c r="Q29" s="51">
        <v>2900</v>
      </c>
      <c r="R29" s="51">
        <v>0</v>
      </c>
      <c r="S29" s="51">
        <v>2700</v>
      </c>
      <c r="T29" s="51"/>
      <c r="U29" s="51">
        <f t="shared" si="8"/>
        <v>36700</v>
      </c>
      <c r="V29" s="67">
        <v>17000</v>
      </c>
      <c r="W29" s="67">
        <v>17000</v>
      </c>
      <c r="AB29" s="86"/>
      <c r="AC29" s="86"/>
      <c r="AD29" s="86"/>
      <c r="AE29" s="86"/>
      <c r="AF29" s="86" t="s">
        <v>97</v>
      </c>
      <c r="AG29" s="86"/>
      <c r="AH29" s="87"/>
      <c r="AI29" s="87"/>
      <c r="AJ29" s="87"/>
      <c r="AK29" s="87"/>
      <c r="AL29" s="87">
        <v>1500</v>
      </c>
      <c r="AM29" s="87">
        <v>0</v>
      </c>
      <c r="AN29" s="87">
        <v>1600</v>
      </c>
      <c r="AO29" s="87">
        <v>0</v>
      </c>
      <c r="AP29" s="87">
        <v>3000</v>
      </c>
      <c r="AQ29" s="87">
        <v>3100</v>
      </c>
      <c r="AR29" s="87">
        <v>0</v>
      </c>
      <c r="AS29" s="87">
        <v>3300</v>
      </c>
      <c r="AT29" s="87">
        <v>1500</v>
      </c>
      <c r="AU29" s="87">
        <v>3100</v>
      </c>
      <c r="AV29" s="87">
        <v>0</v>
      </c>
      <c r="AW29" s="87">
        <v>1500</v>
      </c>
      <c r="AX29" s="87"/>
      <c r="AY29" s="88">
        <f t="shared" si="9"/>
        <v>18600</v>
      </c>
      <c r="AZ29" s="88">
        <v>27000</v>
      </c>
      <c r="BA29" s="88">
        <v>17000</v>
      </c>
      <c r="BB29" s="89"/>
    </row>
    <row r="30" spans="1:54" x14ac:dyDescent="0.3">
      <c r="A30" s="50"/>
      <c r="B30" s="50"/>
      <c r="C30" s="50"/>
      <c r="D30" s="50"/>
      <c r="E30" s="50"/>
      <c r="F30" s="50" t="s">
        <v>198</v>
      </c>
      <c r="G30" s="50"/>
      <c r="H30" s="51">
        <v>0</v>
      </c>
      <c r="I30" s="51">
        <v>0</v>
      </c>
      <c r="J30" s="51">
        <v>0</v>
      </c>
      <c r="K30" s="51">
        <v>0</v>
      </c>
      <c r="L30" s="51">
        <v>0</v>
      </c>
      <c r="M30" s="51">
        <v>0</v>
      </c>
      <c r="N30" s="51">
        <v>0</v>
      </c>
      <c r="O30" s="51">
        <v>0</v>
      </c>
      <c r="P30" s="51">
        <v>0</v>
      </c>
      <c r="Q30" s="51">
        <v>300</v>
      </c>
      <c r="R30" s="51">
        <v>0</v>
      </c>
      <c r="S30" s="51">
        <v>0</v>
      </c>
      <c r="T30" s="51"/>
      <c r="U30" s="51">
        <f t="shared" si="8"/>
        <v>300</v>
      </c>
      <c r="V30" s="67">
        <v>300</v>
      </c>
      <c r="W30" s="67">
        <v>300</v>
      </c>
      <c r="AB30" s="86"/>
      <c r="AC30" s="86"/>
      <c r="AD30" s="86"/>
      <c r="AE30" s="86"/>
      <c r="AF30" s="86" t="s">
        <v>198</v>
      </c>
      <c r="AG30" s="86"/>
      <c r="AH30" s="87"/>
      <c r="AI30" s="87"/>
      <c r="AJ30" s="87"/>
      <c r="AK30" s="87"/>
      <c r="AL30" s="87">
        <v>0</v>
      </c>
      <c r="AM30" s="87">
        <v>0</v>
      </c>
      <c r="AN30" s="87">
        <v>0</v>
      </c>
      <c r="AO30" s="87">
        <v>0</v>
      </c>
      <c r="AP30" s="87">
        <v>300</v>
      </c>
      <c r="AQ30" s="87">
        <v>0</v>
      </c>
      <c r="AR30" s="87">
        <v>0</v>
      </c>
      <c r="AS30" s="87">
        <v>0</v>
      </c>
      <c r="AT30" s="87">
        <v>0</v>
      </c>
      <c r="AU30" s="87">
        <v>0</v>
      </c>
      <c r="AV30" s="87">
        <v>0</v>
      </c>
      <c r="AW30" s="87">
        <v>0</v>
      </c>
      <c r="AX30" s="87"/>
      <c r="AY30" s="88">
        <f t="shared" si="9"/>
        <v>300</v>
      </c>
      <c r="AZ30" s="88">
        <v>300</v>
      </c>
      <c r="BA30" s="88">
        <v>300</v>
      </c>
      <c r="BB30" s="89"/>
    </row>
    <row r="31" spans="1:54" ht="13.8" customHeight="1" x14ac:dyDescent="0.3">
      <c r="A31" s="50"/>
      <c r="B31" s="50"/>
      <c r="C31" s="50"/>
      <c r="D31" s="50"/>
      <c r="E31" s="50"/>
      <c r="F31" s="50" t="s">
        <v>231</v>
      </c>
      <c r="G31" s="50"/>
      <c r="H31" s="51">
        <v>1000</v>
      </c>
      <c r="I31" s="51">
        <v>500</v>
      </c>
      <c r="J31" s="51">
        <v>6500</v>
      </c>
      <c r="K31" s="51">
        <v>3000</v>
      </c>
      <c r="L31" s="51">
        <v>1000</v>
      </c>
      <c r="M31" s="51">
        <v>3000</v>
      </c>
      <c r="N31" s="51">
        <v>3500</v>
      </c>
      <c r="O31" s="51">
        <v>4000</v>
      </c>
      <c r="P31" s="51">
        <v>5000</v>
      </c>
      <c r="Q31" s="51">
        <v>4000</v>
      </c>
      <c r="R31" s="51">
        <v>0</v>
      </c>
      <c r="S31" s="51">
        <v>500</v>
      </c>
      <c r="T31" s="51"/>
      <c r="U31" s="51">
        <f t="shared" si="8"/>
        <v>32000</v>
      </c>
      <c r="V31" s="67">
        <v>6500</v>
      </c>
      <c r="W31" s="67">
        <v>6500</v>
      </c>
      <c r="AB31" s="86"/>
      <c r="AC31" s="86"/>
      <c r="AD31" s="86"/>
      <c r="AE31" s="86"/>
      <c r="AF31" s="86" t="s">
        <v>231</v>
      </c>
      <c r="AG31" s="86"/>
      <c r="AH31" s="87"/>
      <c r="AI31" s="87"/>
      <c r="AJ31" s="87"/>
      <c r="AK31" s="87"/>
      <c r="AL31" s="87">
        <v>0</v>
      </c>
      <c r="AM31" s="87">
        <v>0</v>
      </c>
      <c r="AN31" s="87">
        <v>0</v>
      </c>
      <c r="AO31" s="87">
        <v>-500</v>
      </c>
      <c r="AP31" s="87">
        <v>500</v>
      </c>
      <c r="AQ31" s="87">
        <v>2000</v>
      </c>
      <c r="AR31" s="87">
        <v>1500</v>
      </c>
      <c r="AS31" s="87">
        <v>0</v>
      </c>
      <c r="AT31" s="87">
        <v>0</v>
      </c>
      <c r="AU31" s="87">
        <v>0</v>
      </c>
      <c r="AV31" s="87">
        <v>0</v>
      </c>
      <c r="AW31" s="87">
        <v>0</v>
      </c>
      <c r="AX31" s="87"/>
      <c r="AY31" s="88">
        <f t="shared" si="9"/>
        <v>3500</v>
      </c>
      <c r="AZ31" s="88">
        <v>0</v>
      </c>
      <c r="BA31" s="88">
        <v>6500</v>
      </c>
      <c r="BB31" s="89" t="s">
        <v>257</v>
      </c>
    </row>
    <row r="32" spans="1:54" x14ac:dyDescent="0.3">
      <c r="A32" s="50"/>
      <c r="B32" s="50"/>
      <c r="C32" s="50"/>
      <c r="D32" s="50"/>
      <c r="E32" s="50"/>
      <c r="F32" s="50" t="s">
        <v>98</v>
      </c>
      <c r="G32" s="50"/>
      <c r="H32" s="51">
        <v>1480</v>
      </c>
      <c r="I32" s="51">
        <v>980</v>
      </c>
      <c r="J32" s="51">
        <v>2360</v>
      </c>
      <c r="K32" s="51">
        <v>1965</v>
      </c>
      <c r="L32" s="51">
        <v>375</v>
      </c>
      <c r="M32" s="51">
        <v>2855</v>
      </c>
      <c r="N32" s="51">
        <v>1860</v>
      </c>
      <c r="O32" s="51">
        <v>880</v>
      </c>
      <c r="P32" s="51">
        <v>4003</v>
      </c>
      <c r="Q32" s="51">
        <v>2025</v>
      </c>
      <c r="R32" s="51">
        <v>0</v>
      </c>
      <c r="S32" s="51">
        <v>1680</v>
      </c>
      <c r="T32" s="51"/>
      <c r="U32" s="51">
        <f t="shared" si="8"/>
        <v>20463</v>
      </c>
      <c r="V32" s="67">
        <v>16000</v>
      </c>
      <c r="W32" s="67">
        <v>16000</v>
      </c>
      <c r="AB32" s="86"/>
      <c r="AC32" s="86"/>
      <c r="AD32" s="86"/>
      <c r="AE32" s="86"/>
      <c r="AF32" s="86" t="s">
        <v>98</v>
      </c>
      <c r="AG32" s="86"/>
      <c r="AH32" s="87"/>
      <c r="AI32" s="87"/>
      <c r="AJ32" s="87"/>
      <c r="AK32" s="87"/>
      <c r="AL32" s="87">
        <v>1750</v>
      </c>
      <c r="AM32" s="87">
        <v>950</v>
      </c>
      <c r="AN32" s="87">
        <v>785</v>
      </c>
      <c r="AO32" s="87">
        <v>1550</v>
      </c>
      <c r="AP32" s="87">
        <v>500</v>
      </c>
      <c r="AQ32" s="87">
        <v>1320</v>
      </c>
      <c r="AR32" s="87">
        <v>1330</v>
      </c>
      <c r="AS32" s="87">
        <v>4113.1499999999996</v>
      </c>
      <c r="AT32" s="87">
        <v>2765</v>
      </c>
      <c r="AU32" s="87">
        <v>985</v>
      </c>
      <c r="AV32" s="87">
        <v>3010</v>
      </c>
      <c r="AW32" s="87">
        <v>300</v>
      </c>
      <c r="AX32" s="87"/>
      <c r="AY32" s="88">
        <f t="shared" si="9"/>
        <v>19358.150000000001</v>
      </c>
      <c r="AZ32" s="88">
        <v>12000</v>
      </c>
      <c r="BA32" s="88">
        <v>16000</v>
      </c>
      <c r="BB32" s="89"/>
    </row>
    <row r="33" spans="1:54" ht="15" thickBot="1" x14ac:dyDescent="0.35">
      <c r="A33" s="50"/>
      <c r="B33" s="50"/>
      <c r="C33" s="50"/>
      <c r="D33" s="50"/>
      <c r="E33" s="50"/>
      <c r="F33" s="50" t="s">
        <v>99</v>
      </c>
      <c r="G33" s="50"/>
      <c r="H33" s="51">
        <v>0</v>
      </c>
      <c r="I33" s="51">
        <v>0</v>
      </c>
      <c r="J33" s="51">
        <v>88.5</v>
      </c>
      <c r="K33" s="51">
        <v>15</v>
      </c>
      <c r="L33" s="51">
        <v>0</v>
      </c>
      <c r="M33" s="51">
        <v>0</v>
      </c>
      <c r="N33" s="51">
        <v>0</v>
      </c>
      <c r="O33" s="51">
        <v>0</v>
      </c>
      <c r="P33" s="51">
        <v>0</v>
      </c>
      <c r="Q33" s="51">
        <v>0</v>
      </c>
      <c r="R33" s="51">
        <v>-150</v>
      </c>
      <c r="S33" s="51">
        <v>0</v>
      </c>
      <c r="T33" s="51"/>
      <c r="U33" s="51">
        <f t="shared" si="8"/>
        <v>-46.5</v>
      </c>
      <c r="V33" s="67">
        <v>400</v>
      </c>
      <c r="W33" s="67">
        <v>400</v>
      </c>
      <c r="AB33" s="86"/>
      <c r="AC33" s="86"/>
      <c r="AD33" s="86"/>
      <c r="AE33" s="86" t="s">
        <v>100</v>
      </c>
      <c r="AF33" s="86" t="s">
        <v>99</v>
      </c>
      <c r="AG33" s="86"/>
      <c r="AH33" s="87"/>
      <c r="AI33" s="87"/>
      <c r="AJ33" s="87"/>
      <c r="AK33" s="87"/>
      <c r="AL33" s="87">
        <v>0</v>
      </c>
      <c r="AM33" s="87">
        <v>0</v>
      </c>
      <c r="AN33" s="87">
        <v>0</v>
      </c>
      <c r="AO33" s="87">
        <v>0</v>
      </c>
      <c r="AP33" s="87">
        <v>0</v>
      </c>
      <c r="AQ33" s="87">
        <v>0</v>
      </c>
      <c r="AR33" s="87">
        <v>0</v>
      </c>
      <c r="AS33" s="87">
        <v>0</v>
      </c>
      <c r="AT33" s="87">
        <v>0</v>
      </c>
      <c r="AU33" s="87">
        <v>0</v>
      </c>
      <c r="AV33" s="87">
        <v>25</v>
      </c>
      <c r="AW33" s="87">
        <v>145.41999999999999</v>
      </c>
      <c r="AX33" s="87"/>
      <c r="AY33" s="88">
        <f t="shared" si="9"/>
        <v>170.42</v>
      </c>
      <c r="AZ33" s="88">
        <v>500</v>
      </c>
      <c r="BA33" s="88">
        <v>400</v>
      </c>
      <c r="BB33" s="89"/>
    </row>
    <row r="34" spans="1:54" ht="15" thickBot="1" x14ac:dyDescent="0.35">
      <c r="A34" s="50"/>
      <c r="B34" s="50"/>
      <c r="C34" s="50"/>
      <c r="D34" s="50"/>
      <c r="E34" s="50" t="s">
        <v>100</v>
      </c>
      <c r="F34" s="50"/>
      <c r="G34" s="50"/>
      <c r="H34" s="53">
        <f t="shared" ref="H34:P34" si="10">ROUND(SUM(H23:H33),5)</f>
        <v>44230</v>
      </c>
      <c r="I34" s="53">
        <f t="shared" si="10"/>
        <v>13160</v>
      </c>
      <c r="J34" s="53">
        <f t="shared" si="10"/>
        <v>77890.5</v>
      </c>
      <c r="K34" s="53">
        <f t="shared" si="10"/>
        <v>40920</v>
      </c>
      <c r="L34" s="53">
        <f t="shared" si="10"/>
        <v>20925</v>
      </c>
      <c r="M34" s="53">
        <f t="shared" si="10"/>
        <v>32315</v>
      </c>
      <c r="N34" s="53">
        <f t="shared" si="10"/>
        <v>42070</v>
      </c>
      <c r="O34" s="53">
        <f t="shared" si="10"/>
        <v>38620</v>
      </c>
      <c r="P34" s="53">
        <f t="shared" si="10"/>
        <v>59133</v>
      </c>
      <c r="Q34" s="53">
        <f>ROUND(SUM(Q23:Q33),5)</f>
        <v>30655</v>
      </c>
      <c r="R34" s="53">
        <f>ROUND(SUM(R23:R33),5)</f>
        <v>2750</v>
      </c>
      <c r="S34" s="53">
        <f>ROUND(SUM(S23:S33),5)</f>
        <v>20000</v>
      </c>
      <c r="T34" s="53" t="s">
        <v>307</v>
      </c>
      <c r="U34" s="53">
        <f t="shared" si="8"/>
        <v>422668.5</v>
      </c>
      <c r="V34" s="53">
        <f>ROUND(SUM(V23:V33),5)</f>
        <v>343200</v>
      </c>
      <c r="W34" s="53">
        <f>ROUND(SUM(W23:W33),5)</f>
        <v>300000</v>
      </c>
      <c r="AB34" s="86"/>
      <c r="AC34" s="86"/>
      <c r="AD34" s="86" t="s">
        <v>3</v>
      </c>
      <c r="AE34" s="86"/>
      <c r="AF34" s="86"/>
      <c r="AG34" s="86"/>
      <c r="AH34" s="93"/>
      <c r="AI34" s="93"/>
      <c r="AJ34" s="93"/>
      <c r="AK34" s="93"/>
      <c r="AL34" s="93">
        <f t="shared" ref="AL34:AW34" si="11">ROUND(SUM(AL23:AL33),5)</f>
        <v>18825</v>
      </c>
      <c r="AM34" s="93">
        <f t="shared" si="11"/>
        <v>22560</v>
      </c>
      <c r="AN34" s="93">
        <f t="shared" si="11"/>
        <v>32385</v>
      </c>
      <c r="AO34" s="93">
        <f t="shared" si="11"/>
        <v>52300</v>
      </c>
      <c r="AP34" s="93">
        <f t="shared" si="11"/>
        <v>12700</v>
      </c>
      <c r="AQ34" s="93">
        <f t="shared" si="11"/>
        <v>37770</v>
      </c>
      <c r="AR34" s="93">
        <f t="shared" si="11"/>
        <v>30580</v>
      </c>
      <c r="AS34" s="93">
        <f t="shared" si="11"/>
        <v>50923.15</v>
      </c>
      <c r="AT34" s="93">
        <f t="shared" si="11"/>
        <v>53915</v>
      </c>
      <c r="AU34" s="93">
        <f t="shared" si="11"/>
        <v>24460</v>
      </c>
      <c r="AV34" s="93">
        <f t="shared" si="11"/>
        <v>16160</v>
      </c>
      <c r="AW34" s="93">
        <f t="shared" si="11"/>
        <v>21245.42</v>
      </c>
      <c r="AX34" s="93"/>
      <c r="AY34" s="94">
        <f t="shared" si="9"/>
        <v>373823.57</v>
      </c>
      <c r="AZ34" s="94">
        <f>ROUND(SUM(AZ23:AZ33),5)</f>
        <v>268800</v>
      </c>
      <c r="BA34" s="94">
        <f>ROUND(SUM(BA23:BA33),5)</f>
        <v>343200</v>
      </c>
      <c r="BB34" s="95"/>
    </row>
    <row r="35" spans="1:54" x14ac:dyDescent="0.3">
      <c r="A35" s="50"/>
      <c r="B35" s="50"/>
      <c r="C35" s="50"/>
      <c r="D35" s="50" t="s">
        <v>3</v>
      </c>
      <c r="E35" s="50"/>
      <c r="F35" s="50"/>
      <c r="G35" s="50"/>
      <c r="H35" s="51">
        <f t="shared" ref="H35:P35" si="12">ROUND(H3+H15+H22+H34,5)</f>
        <v>61275.14</v>
      </c>
      <c r="I35" s="51">
        <f t="shared" si="12"/>
        <v>21077.040000000001</v>
      </c>
      <c r="J35" s="51">
        <f t="shared" si="12"/>
        <v>86259.35</v>
      </c>
      <c r="K35" s="51">
        <f t="shared" si="12"/>
        <v>85563.12</v>
      </c>
      <c r="L35" s="51">
        <f t="shared" si="12"/>
        <v>26431.9</v>
      </c>
      <c r="M35" s="51">
        <f t="shared" si="12"/>
        <v>297669.45</v>
      </c>
      <c r="N35" s="51">
        <f t="shared" si="12"/>
        <v>218782.29</v>
      </c>
      <c r="O35" s="51">
        <f t="shared" si="12"/>
        <v>59700.88</v>
      </c>
      <c r="P35" s="51">
        <f t="shared" si="12"/>
        <v>74424.84</v>
      </c>
      <c r="Q35" s="51">
        <f>ROUND(Q3+Q15+Q22+Q34,5)</f>
        <v>104610.76</v>
      </c>
      <c r="R35" s="51">
        <f>ROUND(R3+R15+R22+R34,5)</f>
        <v>275564.61</v>
      </c>
      <c r="S35" s="51">
        <f>ROUND(S3+S15+S22+S34,5)</f>
        <v>43652.36</v>
      </c>
      <c r="T35" s="51"/>
      <c r="U35" s="51">
        <f t="shared" si="8"/>
        <v>1355011.74</v>
      </c>
      <c r="V35" s="51">
        <f>ROUND(V3+V15+V22+V34,5)</f>
        <v>1201000</v>
      </c>
      <c r="W35" s="51">
        <f>ROUND(W3+W15+W22+W34,5)</f>
        <v>1189000</v>
      </c>
      <c r="AB35" s="86"/>
      <c r="AC35" s="86"/>
      <c r="AD35" s="86" t="s">
        <v>101</v>
      </c>
      <c r="AE35" s="86"/>
      <c r="AF35" s="86"/>
      <c r="AG35" s="86"/>
      <c r="AH35" s="87"/>
      <c r="AI35" s="87"/>
      <c r="AJ35" s="87"/>
      <c r="AK35" s="87"/>
      <c r="AL35" s="87">
        <f t="shared" ref="AL35:AW35" si="13">ROUND(AL3+AL15+AL22+AL34,5)</f>
        <v>19157.96</v>
      </c>
      <c r="AM35" s="87">
        <f t="shared" si="13"/>
        <v>32762.26</v>
      </c>
      <c r="AN35" s="87">
        <f t="shared" si="13"/>
        <v>38581.82</v>
      </c>
      <c r="AO35" s="87">
        <f t="shared" si="13"/>
        <v>91690.13</v>
      </c>
      <c r="AP35" s="87">
        <f t="shared" si="13"/>
        <v>19284.080000000002</v>
      </c>
      <c r="AQ35" s="87">
        <f t="shared" si="13"/>
        <v>247789.42</v>
      </c>
      <c r="AR35" s="87">
        <f t="shared" si="13"/>
        <v>256344.78</v>
      </c>
      <c r="AS35" s="87">
        <f t="shared" si="13"/>
        <v>59246.37</v>
      </c>
      <c r="AT35" s="87">
        <f t="shared" si="13"/>
        <v>65460.81</v>
      </c>
      <c r="AU35" s="87">
        <f t="shared" si="13"/>
        <v>97264.65</v>
      </c>
      <c r="AV35" s="87">
        <f t="shared" si="13"/>
        <v>222938.27</v>
      </c>
      <c r="AW35" s="87">
        <f t="shared" si="13"/>
        <v>114688.35</v>
      </c>
      <c r="AX35" s="87"/>
      <c r="AY35" s="88">
        <f t="shared" si="9"/>
        <v>1265208.8999999999</v>
      </c>
      <c r="AZ35" s="88">
        <f>ROUND(AZ3+AZ15+AZ22+AZ34,5)</f>
        <v>1078800</v>
      </c>
      <c r="BA35" s="88">
        <f>ROUND(BA3+BA15+BA22+BA34,5)</f>
        <v>1201000</v>
      </c>
      <c r="BB35" s="89"/>
    </row>
    <row r="36" spans="1:54" hidden="1" x14ac:dyDescent="0.3">
      <c r="A36" s="50"/>
      <c r="B36" s="50"/>
      <c r="C36" s="50"/>
      <c r="D36" s="50" t="s">
        <v>101</v>
      </c>
      <c r="E36" s="50"/>
      <c r="F36" s="50"/>
      <c r="G36" s="50"/>
      <c r="H36" s="51"/>
      <c r="I36" s="51"/>
      <c r="J36" s="51"/>
      <c r="K36" s="51"/>
      <c r="L36" s="51"/>
      <c r="M36" s="51"/>
      <c r="N36" s="51"/>
      <c r="O36" s="51"/>
      <c r="P36" s="51"/>
      <c r="Q36" s="51"/>
      <c r="R36" s="51"/>
      <c r="S36" s="51"/>
      <c r="T36" s="51"/>
      <c r="U36" s="51"/>
      <c r="V36" s="51"/>
      <c r="W36" s="51"/>
      <c r="AB36" s="86"/>
      <c r="AC36" s="86"/>
      <c r="AD36" s="86"/>
      <c r="AE36" s="86" t="s">
        <v>102</v>
      </c>
      <c r="AF36" s="86"/>
      <c r="AG36" s="86"/>
      <c r="AH36" s="87"/>
      <c r="AI36" s="87"/>
      <c r="AJ36" s="87"/>
      <c r="AK36" s="87"/>
      <c r="AL36" s="87"/>
      <c r="AM36" s="87"/>
      <c r="AN36" s="87"/>
      <c r="AO36" s="87"/>
      <c r="AP36" s="87"/>
      <c r="AQ36" s="87"/>
      <c r="AR36" s="87"/>
      <c r="AS36" s="87"/>
      <c r="AT36" s="87"/>
      <c r="AU36" s="87"/>
      <c r="AV36" s="87"/>
      <c r="AW36" s="87"/>
      <c r="AX36" s="87"/>
      <c r="AY36" s="88"/>
      <c r="AZ36" s="88"/>
      <c r="BA36" s="88"/>
      <c r="BB36" s="89"/>
    </row>
    <row r="37" spans="1:54" hidden="1" x14ac:dyDescent="0.3">
      <c r="A37" s="50"/>
      <c r="B37" s="50"/>
      <c r="C37" s="50"/>
      <c r="D37" s="50"/>
      <c r="E37" s="50" t="s">
        <v>102</v>
      </c>
      <c r="F37" s="50"/>
      <c r="G37" s="50"/>
      <c r="H37" s="51">
        <v>0</v>
      </c>
      <c r="I37" s="51">
        <v>0</v>
      </c>
      <c r="J37" s="51">
        <v>0</v>
      </c>
      <c r="K37" s="51">
        <v>0</v>
      </c>
      <c r="L37" s="51">
        <v>0</v>
      </c>
      <c r="M37" s="51">
        <v>0</v>
      </c>
      <c r="N37" s="51">
        <v>0</v>
      </c>
      <c r="O37" s="51">
        <v>0</v>
      </c>
      <c r="P37" s="51">
        <v>0</v>
      </c>
      <c r="Q37" s="51">
        <v>0</v>
      </c>
      <c r="R37" s="51">
        <v>0</v>
      </c>
      <c r="S37" s="51">
        <v>0</v>
      </c>
      <c r="T37" s="51"/>
      <c r="U37" s="51">
        <f>ROUND(SUM(H37:T37),5)</f>
        <v>0</v>
      </c>
      <c r="V37" s="51">
        <v>0</v>
      </c>
      <c r="W37" s="51">
        <v>0</v>
      </c>
      <c r="AB37" s="86"/>
      <c r="AC37" s="86"/>
      <c r="AD37" s="86" t="s">
        <v>103</v>
      </c>
      <c r="AE37" s="86"/>
      <c r="AF37" s="86"/>
      <c r="AG37" s="86"/>
      <c r="AH37" s="87"/>
      <c r="AI37" s="87"/>
      <c r="AJ37" s="87"/>
      <c r="AK37" s="87"/>
      <c r="AL37" s="87">
        <v>0</v>
      </c>
      <c r="AM37" s="87">
        <v>0</v>
      </c>
      <c r="AN37" s="87">
        <v>0</v>
      </c>
      <c r="AO37" s="87">
        <v>0</v>
      </c>
      <c r="AP37" s="87">
        <v>0</v>
      </c>
      <c r="AQ37" s="87">
        <v>0</v>
      </c>
      <c r="AR37" s="87">
        <v>0</v>
      </c>
      <c r="AS37" s="87">
        <v>0</v>
      </c>
      <c r="AT37" s="87">
        <v>0</v>
      </c>
      <c r="AU37" s="87">
        <v>0</v>
      </c>
      <c r="AV37" s="87">
        <v>0</v>
      </c>
      <c r="AW37" s="87">
        <v>0</v>
      </c>
      <c r="AX37" s="87"/>
      <c r="AY37" s="88">
        <f>ROUND(SUM(AH37:AX37),5)</f>
        <v>0</v>
      </c>
      <c r="AZ37" s="88">
        <v>0</v>
      </c>
      <c r="BA37" s="88">
        <v>0</v>
      </c>
      <c r="BB37" s="89"/>
    </row>
    <row r="38" spans="1:54" ht="15" hidden="1" thickBot="1" x14ac:dyDescent="0.35">
      <c r="A38" s="50"/>
      <c r="B38" s="50"/>
      <c r="C38" s="50"/>
      <c r="D38" s="50" t="s">
        <v>103</v>
      </c>
      <c r="E38" s="50"/>
      <c r="F38" s="50"/>
      <c r="G38" s="50"/>
      <c r="H38" s="53">
        <f t="shared" ref="H38:P38" si="14">ROUND(SUM(H36:H37),5)</f>
        <v>0</v>
      </c>
      <c r="I38" s="53">
        <f t="shared" si="14"/>
        <v>0</v>
      </c>
      <c r="J38" s="53">
        <f t="shared" si="14"/>
        <v>0</v>
      </c>
      <c r="K38" s="53">
        <f t="shared" si="14"/>
        <v>0</v>
      </c>
      <c r="L38" s="53">
        <f t="shared" si="14"/>
        <v>0</v>
      </c>
      <c r="M38" s="53">
        <f t="shared" si="14"/>
        <v>0</v>
      </c>
      <c r="N38" s="53">
        <f t="shared" si="14"/>
        <v>0</v>
      </c>
      <c r="O38" s="53">
        <f t="shared" si="14"/>
        <v>0</v>
      </c>
      <c r="P38" s="53">
        <f t="shared" si="14"/>
        <v>0</v>
      </c>
      <c r="Q38" s="53">
        <f>ROUND(SUM(Q36:Q37),5)</f>
        <v>0</v>
      </c>
      <c r="R38" s="53">
        <f>ROUND(SUM(R36:R37),5)</f>
        <v>0</v>
      </c>
      <c r="S38" s="53">
        <f>ROUND(SUM(S36:S37),5)</f>
        <v>0</v>
      </c>
      <c r="T38" s="53"/>
      <c r="U38" s="53">
        <f>ROUND(SUM(H38:T38),5)</f>
        <v>0</v>
      </c>
      <c r="V38" s="53">
        <f>ROUND(SUM(V36:V37),5)</f>
        <v>0</v>
      </c>
      <c r="W38" s="53">
        <f>ROUND(SUM(W36:W37),5)</f>
        <v>0</v>
      </c>
      <c r="AB38" s="86"/>
      <c r="AC38" s="86" t="s">
        <v>104</v>
      </c>
      <c r="AD38" s="86"/>
      <c r="AE38" s="86"/>
      <c r="AF38" s="86"/>
      <c r="AG38" s="86"/>
      <c r="AH38" s="93"/>
      <c r="AI38" s="93"/>
      <c r="AJ38" s="93"/>
      <c r="AK38" s="93"/>
      <c r="AL38" s="93">
        <f t="shared" ref="AL38:AW38" si="15">ROUND(SUM(AL36:AL37),5)</f>
        <v>0</v>
      </c>
      <c r="AM38" s="93">
        <f t="shared" si="15"/>
        <v>0</v>
      </c>
      <c r="AN38" s="93">
        <f t="shared" si="15"/>
        <v>0</v>
      </c>
      <c r="AO38" s="93">
        <f t="shared" si="15"/>
        <v>0</v>
      </c>
      <c r="AP38" s="93">
        <f t="shared" si="15"/>
        <v>0</v>
      </c>
      <c r="AQ38" s="93">
        <f t="shared" si="15"/>
        <v>0</v>
      </c>
      <c r="AR38" s="93">
        <f t="shared" si="15"/>
        <v>0</v>
      </c>
      <c r="AS38" s="93">
        <f t="shared" si="15"/>
        <v>0</v>
      </c>
      <c r="AT38" s="93">
        <f t="shared" si="15"/>
        <v>0</v>
      </c>
      <c r="AU38" s="93">
        <f t="shared" si="15"/>
        <v>0</v>
      </c>
      <c r="AV38" s="93">
        <f t="shared" si="15"/>
        <v>0</v>
      </c>
      <c r="AW38" s="93">
        <f t="shared" si="15"/>
        <v>0</v>
      </c>
      <c r="AX38" s="93"/>
      <c r="AY38" s="94">
        <f>ROUND(SUM(AH38:AX38),5)</f>
        <v>0</v>
      </c>
      <c r="AZ38" s="94">
        <f>ROUND(SUM(AZ36:AZ37),5)</f>
        <v>0</v>
      </c>
      <c r="BA38" s="94">
        <f>ROUND(SUM(BA36:BA37),5)</f>
        <v>0</v>
      </c>
      <c r="BB38" s="95"/>
    </row>
    <row r="39" spans="1:54" hidden="1" x14ac:dyDescent="0.3">
      <c r="A39" s="50"/>
      <c r="B39" s="50"/>
      <c r="C39" s="50" t="s">
        <v>104</v>
      </c>
      <c r="D39" s="50"/>
      <c r="E39" s="50"/>
      <c r="F39" s="50"/>
      <c r="G39" s="50"/>
      <c r="H39" s="51">
        <f t="shared" ref="H39:P39" si="16">ROUND(H35-H38,5)</f>
        <v>61275.14</v>
      </c>
      <c r="I39" s="51">
        <f t="shared" si="16"/>
        <v>21077.040000000001</v>
      </c>
      <c r="J39" s="51">
        <f t="shared" si="16"/>
        <v>86259.35</v>
      </c>
      <c r="K39" s="51">
        <f t="shared" si="16"/>
        <v>85563.12</v>
      </c>
      <c r="L39" s="51">
        <f t="shared" si="16"/>
        <v>26431.9</v>
      </c>
      <c r="M39" s="51">
        <f t="shared" si="16"/>
        <v>297669.45</v>
      </c>
      <c r="N39" s="51">
        <f t="shared" si="16"/>
        <v>218782.29</v>
      </c>
      <c r="O39" s="51">
        <f t="shared" si="16"/>
        <v>59700.88</v>
      </c>
      <c r="P39" s="51">
        <f t="shared" si="16"/>
        <v>74424.84</v>
      </c>
      <c r="Q39" s="51">
        <f>ROUND(Q35-Q38,5)</f>
        <v>104610.76</v>
      </c>
      <c r="R39" s="51">
        <f>ROUND(R35-R38,5)</f>
        <v>275564.61</v>
      </c>
      <c r="S39" s="51">
        <f>ROUND(S35-S38,5)</f>
        <v>43652.36</v>
      </c>
      <c r="T39" s="51"/>
      <c r="U39" s="51">
        <f>ROUND(SUM(H39:T39),5)</f>
        <v>1355011.74</v>
      </c>
      <c r="V39" s="51">
        <f>ROUND(V35-V38,5)</f>
        <v>1201000</v>
      </c>
      <c r="W39" s="51">
        <f>ROUND(W35-W38,5)</f>
        <v>1189000</v>
      </c>
      <c r="AB39" s="86"/>
      <c r="AC39" s="86"/>
      <c r="AD39" s="86" t="s">
        <v>4</v>
      </c>
      <c r="AE39" s="86"/>
      <c r="AF39" s="86"/>
      <c r="AG39" s="86"/>
      <c r="AH39" s="87"/>
      <c r="AI39" s="87"/>
      <c r="AJ39" s="87"/>
      <c r="AK39" s="87"/>
      <c r="AL39" s="87">
        <f t="shared" ref="AL39:AW39" si="17">ROUND(AL35-AL38,5)</f>
        <v>19157.96</v>
      </c>
      <c r="AM39" s="87">
        <f t="shared" si="17"/>
        <v>32762.26</v>
      </c>
      <c r="AN39" s="87">
        <f t="shared" si="17"/>
        <v>38581.82</v>
      </c>
      <c r="AO39" s="87">
        <f t="shared" si="17"/>
        <v>91690.13</v>
      </c>
      <c r="AP39" s="87">
        <f t="shared" si="17"/>
        <v>19284.080000000002</v>
      </c>
      <c r="AQ39" s="87">
        <f t="shared" si="17"/>
        <v>247789.42</v>
      </c>
      <c r="AR39" s="87">
        <f t="shared" si="17"/>
        <v>256344.78</v>
      </c>
      <c r="AS39" s="87">
        <f t="shared" si="17"/>
        <v>59246.37</v>
      </c>
      <c r="AT39" s="87">
        <f t="shared" si="17"/>
        <v>65460.81</v>
      </c>
      <c r="AU39" s="87">
        <f t="shared" si="17"/>
        <v>97264.65</v>
      </c>
      <c r="AV39" s="87">
        <f t="shared" si="17"/>
        <v>222938.27</v>
      </c>
      <c r="AW39" s="87">
        <f t="shared" si="17"/>
        <v>114688.35</v>
      </c>
      <c r="AX39" s="87"/>
      <c r="AY39" s="88">
        <f>ROUND(SUM(AH39:AX39),5)</f>
        <v>1265208.8999999999</v>
      </c>
      <c r="AZ39" s="88">
        <f>ROUND(AZ35-AZ38,5)</f>
        <v>1078800</v>
      </c>
      <c r="BA39" s="88">
        <f>ROUND(BA35-BA38,5)</f>
        <v>1201000</v>
      </c>
      <c r="BB39" s="89"/>
    </row>
    <row r="40" spans="1:54" x14ac:dyDescent="0.3">
      <c r="A40" s="50"/>
      <c r="B40" s="50"/>
      <c r="C40" s="50"/>
      <c r="D40" s="50" t="s">
        <v>4</v>
      </c>
      <c r="E40" s="50"/>
      <c r="F40" s="50"/>
      <c r="G40" s="50"/>
      <c r="H40" s="51"/>
      <c r="I40" s="51"/>
      <c r="J40" s="51"/>
      <c r="K40" s="51"/>
      <c r="L40" s="51"/>
      <c r="M40" s="51"/>
      <c r="N40" s="51"/>
      <c r="O40" s="51"/>
      <c r="P40" s="51"/>
      <c r="Q40" s="51"/>
      <c r="R40" s="51"/>
      <c r="S40" s="51"/>
      <c r="T40" s="51"/>
      <c r="U40" s="51"/>
      <c r="V40" s="51"/>
      <c r="W40" s="51"/>
      <c r="AB40" s="86"/>
      <c r="AC40" s="86"/>
      <c r="AD40" s="86"/>
      <c r="AE40" s="86" t="s">
        <v>105</v>
      </c>
      <c r="AF40" s="86"/>
      <c r="AG40" s="86"/>
      <c r="AH40" s="87"/>
      <c r="AI40" s="87"/>
      <c r="AJ40" s="87"/>
      <c r="AK40" s="87"/>
      <c r="AL40" s="87"/>
      <c r="AM40" s="87"/>
      <c r="AN40" s="87"/>
      <c r="AO40" s="87"/>
      <c r="AP40" s="87"/>
      <c r="AQ40" s="87"/>
      <c r="AR40" s="87"/>
      <c r="AS40" s="87"/>
      <c r="AT40" s="87"/>
      <c r="AU40" s="87"/>
      <c r="AV40" s="87"/>
      <c r="AW40" s="87"/>
      <c r="AX40" s="87"/>
      <c r="AY40" s="88"/>
      <c r="AZ40" s="88"/>
      <c r="BA40" s="88"/>
      <c r="BB40" s="89"/>
    </row>
    <row r="41" spans="1:54" x14ac:dyDescent="0.3">
      <c r="A41" s="50"/>
      <c r="B41" s="50"/>
      <c r="C41" s="50"/>
      <c r="D41" s="50"/>
      <c r="E41" s="50" t="s">
        <v>105</v>
      </c>
      <c r="F41" s="50"/>
      <c r="G41" s="50"/>
      <c r="H41" s="51"/>
      <c r="I41" s="51"/>
      <c r="J41" s="51"/>
      <c r="K41" s="51"/>
      <c r="L41" s="51"/>
      <c r="M41" s="51"/>
      <c r="N41" s="51"/>
      <c r="O41" s="51"/>
      <c r="P41" s="51"/>
      <c r="Q41" s="51"/>
      <c r="R41" s="51"/>
      <c r="S41" s="51"/>
      <c r="T41" s="51"/>
      <c r="U41" s="51"/>
      <c r="V41" s="51"/>
      <c r="W41" s="51"/>
      <c r="AB41" s="86"/>
      <c r="AC41" s="86"/>
      <c r="AD41" s="86"/>
      <c r="AE41" s="86"/>
      <c r="AF41" s="86"/>
      <c r="AG41" s="86"/>
      <c r="AH41" s="87"/>
      <c r="AI41" s="87"/>
      <c r="AJ41" s="87"/>
      <c r="AK41" s="87"/>
      <c r="AL41" s="87"/>
      <c r="AM41" s="87"/>
      <c r="AN41" s="87"/>
      <c r="AO41" s="87"/>
      <c r="AP41" s="87"/>
      <c r="AQ41" s="87"/>
      <c r="AR41" s="87"/>
      <c r="AS41" s="87"/>
      <c r="AT41" s="87"/>
      <c r="AU41" s="87"/>
      <c r="AV41" s="87"/>
      <c r="AW41" s="87"/>
      <c r="AX41" s="87"/>
      <c r="AY41" s="88"/>
      <c r="AZ41" s="88"/>
      <c r="BA41" s="88"/>
      <c r="BB41" s="89"/>
    </row>
    <row r="42" spans="1:54" x14ac:dyDescent="0.3">
      <c r="A42" s="50"/>
      <c r="B42" s="50"/>
      <c r="C42" s="50"/>
      <c r="D42" s="50"/>
      <c r="E42" s="50"/>
      <c r="F42" s="50" t="s">
        <v>106</v>
      </c>
      <c r="G42" s="50"/>
      <c r="H42" s="51"/>
      <c r="I42" s="51"/>
      <c r="J42" s="51"/>
      <c r="K42" s="51"/>
      <c r="L42" s="51"/>
      <c r="M42" s="51"/>
      <c r="N42" s="51"/>
      <c r="O42" s="51"/>
      <c r="P42" s="51"/>
      <c r="Q42" s="51"/>
      <c r="R42" s="51"/>
      <c r="S42" s="51"/>
      <c r="T42" s="51"/>
      <c r="U42" s="51"/>
      <c r="V42" s="51"/>
      <c r="W42" s="51"/>
      <c r="AB42" s="86"/>
      <c r="AC42" s="86"/>
      <c r="AD42" s="86"/>
      <c r="AE42" s="86"/>
      <c r="AF42" s="86" t="s">
        <v>106</v>
      </c>
      <c r="AG42" s="86"/>
      <c r="AH42" s="87"/>
      <c r="AI42" s="87"/>
      <c r="AJ42" s="87"/>
      <c r="AK42" s="87"/>
      <c r="AL42" s="87"/>
      <c r="AM42" s="87"/>
      <c r="AN42" s="87"/>
      <c r="AO42" s="87"/>
      <c r="AP42" s="87"/>
      <c r="AQ42" s="87"/>
      <c r="AR42" s="87"/>
      <c r="AS42" s="87"/>
      <c r="AT42" s="87"/>
      <c r="AU42" s="87"/>
      <c r="AV42" s="87"/>
      <c r="AW42" s="87"/>
      <c r="AX42" s="87"/>
      <c r="AY42" s="88"/>
      <c r="AZ42" s="88"/>
      <c r="BA42" s="88"/>
      <c r="BB42" s="89"/>
    </row>
    <row r="43" spans="1:54" x14ac:dyDescent="0.3">
      <c r="A43" s="50"/>
      <c r="B43" s="50"/>
      <c r="C43" s="50"/>
      <c r="D43" s="50"/>
      <c r="E43" s="50"/>
      <c r="F43" s="50"/>
      <c r="G43" s="50" t="s">
        <v>107</v>
      </c>
      <c r="H43" s="51">
        <v>8772.68</v>
      </c>
      <c r="I43" s="51">
        <v>17294.16</v>
      </c>
      <c r="J43" s="51">
        <v>20600.22</v>
      </c>
      <c r="K43" s="51">
        <v>22987.7</v>
      </c>
      <c r="L43" s="51">
        <v>15845.14</v>
      </c>
      <c r="M43" s="51">
        <v>18074.96</v>
      </c>
      <c r="N43" s="51">
        <v>35615.51</v>
      </c>
      <c r="O43" s="51">
        <v>18384.71</v>
      </c>
      <c r="P43" s="51">
        <v>18295.900000000001</v>
      </c>
      <c r="Q43" s="51">
        <v>27577.57</v>
      </c>
      <c r="R43" s="51">
        <v>18483.97</v>
      </c>
      <c r="S43" s="51">
        <v>21987.85</v>
      </c>
      <c r="T43" s="51"/>
      <c r="U43" s="51">
        <f>ROUND(SUM(H43:T43),5)</f>
        <v>243920.37</v>
      </c>
      <c r="V43" s="67">
        <v>281000</v>
      </c>
      <c r="W43" s="67">
        <v>319000</v>
      </c>
      <c r="X43" s="68" t="s">
        <v>207</v>
      </c>
      <c r="AB43" s="86"/>
      <c r="AC43" s="86"/>
      <c r="AD43" s="86"/>
      <c r="AE43" s="86"/>
      <c r="AF43" s="86"/>
      <c r="AG43" s="86" t="s">
        <v>107</v>
      </c>
      <c r="AH43" s="87"/>
      <c r="AI43" s="87"/>
      <c r="AJ43" s="87"/>
      <c r="AK43" s="87"/>
      <c r="AL43" s="87">
        <v>8942.48</v>
      </c>
      <c r="AM43" s="87">
        <v>16476.650000000001</v>
      </c>
      <c r="AN43" s="87">
        <v>17665.79</v>
      </c>
      <c r="AO43" s="87">
        <v>27986.11</v>
      </c>
      <c r="AP43" s="87">
        <v>14362.23</v>
      </c>
      <c r="AQ43" s="87">
        <v>14423.56</v>
      </c>
      <c r="AR43" s="87">
        <v>24698.48</v>
      </c>
      <c r="AS43" s="87">
        <v>16746.79</v>
      </c>
      <c r="AT43" s="87">
        <v>16868.52</v>
      </c>
      <c r="AU43" s="87">
        <v>25401.13</v>
      </c>
      <c r="AV43" s="87">
        <v>26898.32</v>
      </c>
      <c r="AW43" s="87">
        <v>21343.49</v>
      </c>
      <c r="AX43" s="87"/>
      <c r="AY43" s="88">
        <f t="shared" ref="AY43:AY50" si="18">ROUND(SUM(AH43:AX43),5)</f>
        <v>231813.55</v>
      </c>
      <c r="AZ43" s="88">
        <v>235000</v>
      </c>
      <c r="BA43" s="88">
        <v>281000</v>
      </c>
      <c r="BB43" s="89" t="s">
        <v>207</v>
      </c>
    </row>
    <row r="44" spans="1:54" x14ac:dyDescent="0.3">
      <c r="A44" s="50"/>
      <c r="B44" s="50"/>
      <c r="C44" s="50"/>
      <c r="D44" s="50"/>
      <c r="E44" s="50"/>
      <c r="F44" s="50"/>
      <c r="G44" s="50" t="s">
        <v>108</v>
      </c>
      <c r="H44" s="51">
        <v>0</v>
      </c>
      <c r="I44" s="51">
        <v>0</v>
      </c>
      <c r="J44" s="51">
        <v>0</v>
      </c>
      <c r="K44" s="51">
        <v>0</v>
      </c>
      <c r="L44" s="51">
        <v>0</v>
      </c>
      <c r="M44" s="51">
        <v>6280.13</v>
      </c>
      <c r="N44" s="51">
        <v>0</v>
      </c>
      <c r="O44" s="51">
        <v>0</v>
      </c>
      <c r="P44" s="51">
        <v>0</v>
      </c>
      <c r="Q44" s="51">
        <v>0</v>
      </c>
      <c r="R44" s="51">
        <v>0</v>
      </c>
      <c r="S44" s="51">
        <v>0</v>
      </c>
      <c r="T44" s="51"/>
      <c r="U44" s="51">
        <f>ROUND(SUM(H44:T44),5)</f>
        <v>6280.13</v>
      </c>
      <c r="V44" s="67">
        <v>5000</v>
      </c>
      <c r="W44" s="67">
        <v>6500</v>
      </c>
      <c r="X44" s="68" t="s">
        <v>207</v>
      </c>
      <c r="AB44" s="86"/>
      <c r="AC44" s="86"/>
      <c r="AD44" s="86"/>
      <c r="AE44" s="86"/>
      <c r="AF44" s="86"/>
      <c r="AG44" s="86" t="s">
        <v>212</v>
      </c>
      <c r="AH44" s="87"/>
      <c r="AI44" s="87"/>
      <c r="AJ44" s="87"/>
      <c r="AK44" s="87"/>
      <c r="AL44" s="87">
        <v>0</v>
      </c>
      <c r="AM44" s="87">
        <v>0</v>
      </c>
      <c r="AN44" s="87">
        <v>0</v>
      </c>
      <c r="AO44" s="87">
        <v>0</v>
      </c>
      <c r="AP44" s="87">
        <v>0</v>
      </c>
      <c r="AQ44" s="87">
        <v>0</v>
      </c>
      <c r="AR44" s="87">
        <v>0</v>
      </c>
      <c r="AS44" s="87">
        <v>0</v>
      </c>
      <c r="AT44" s="87">
        <v>0</v>
      </c>
      <c r="AU44" s="87">
        <v>0</v>
      </c>
      <c r="AV44" s="87">
        <v>0</v>
      </c>
      <c r="AW44" s="87">
        <v>0</v>
      </c>
      <c r="AX44" s="87"/>
      <c r="AY44" s="88">
        <f t="shared" si="18"/>
        <v>0</v>
      </c>
      <c r="AZ44" s="88">
        <v>43680</v>
      </c>
      <c r="BA44" s="88">
        <v>43680</v>
      </c>
      <c r="BB44" s="89" t="s">
        <v>245</v>
      </c>
    </row>
    <row r="45" spans="1:54" ht="21.6" x14ac:dyDescent="0.3">
      <c r="A45" s="50"/>
      <c r="B45" s="50"/>
      <c r="C45" s="50"/>
      <c r="D45" s="50"/>
      <c r="E45" s="50"/>
      <c r="F45" s="50"/>
      <c r="G45" s="50" t="s">
        <v>276</v>
      </c>
      <c r="H45" s="51">
        <v>0</v>
      </c>
      <c r="I45" s="51">
        <v>0</v>
      </c>
      <c r="J45" s="51">
        <v>0</v>
      </c>
      <c r="K45" s="51">
        <v>0</v>
      </c>
      <c r="L45" s="51">
        <v>0</v>
      </c>
      <c r="M45" s="51">
        <v>0</v>
      </c>
      <c r="N45" s="51">
        <v>0</v>
      </c>
      <c r="O45" s="51">
        <v>0</v>
      </c>
      <c r="P45" s="51">
        <v>0</v>
      </c>
      <c r="Q45" s="51">
        <v>0</v>
      </c>
      <c r="R45" s="51">
        <v>0</v>
      </c>
      <c r="S45" s="51">
        <v>0</v>
      </c>
      <c r="T45" s="51"/>
      <c r="U45" s="51">
        <f>ROUND(SUM(H45:T45),5)</f>
        <v>0</v>
      </c>
      <c r="V45" s="67">
        <v>5500</v>
      </c>
      <c r="W45" s="67">
        <v>0</v>
      </c>
      <c r="X45" s="68" t="s">
        <v>305</v>
      </c>
      <c r="AB45" s="86"/>
      <c r="AC45" s="86"/>
      <c r="AD45" s="86"/>
      <c r="AE45" s="86"/>
      <c r="AF45" s="86"/>
      <c r="AG45" s="86" t="s">
        <v>108</v>
      </c>
      <c r="AH45" s="87"/>
      <c r="AI45" s="87"/>
      <c r="AJ45" s="87"/>
      <c r="AK45" s="87"/>
      <c r="AL45" s="87">
        <v>0</v>
      </c>
      <c r="AM45" s="87">
        <v>0</v>
      </c>
      <c r="AN45" s="87">
        <v>0</v>
      </c>
      <c r="AO45" s="87">
        <v>0</v>
      </c>
      <c r="AP45" s="87">
        <v>0</v>
      </c>
      <c r="AQ45" s="87">
        <v>3986.45</v>
      </c>
      <c r="AR45" s="87">
        <v>0</v>
      </c>
      <c r="AS45" s="87">
        <v>0</v>
      </c>
      <c r="AT45" s="87">
        <v>0</v>
      </c>
      <c r="AU45" s="87">
        <v>6572.5</v>
      </c>
      <c r="AV45" s="87">
        <v>0</v>
      </c>
      <c r="AW45" s="87">
        <v>0</v>
      </c>
      <c r="AX45" s="87"/>
      <c r="AY45" s="88">
        <f t="shared" si="18"/>
        <v>10558.95</v>
      </c>
      <c r="AZ45" s="88">
        <v>4500</v>
      </c>
      <c r="BA45" s="88">
        <v>5000</v>
      </c>
      <c r="BB45" s="89" t="s">
        <v>207</v>
      </c>
    </row>
    <row r="46" spans="1:54" ht="15" thickBot="1" x14ac:dyDescent="0.35">
      <c r="A46" s="50"/>
      <c r="B46" s="50"/>
      <c r="C46" s="50"/>
      <c r="D46" s="50"/>
      <c r="E46" s="50"/>
      <c r="F46" s="50"/>
      <c r="G46" s="50" t="s">
        <v>109</v>
      </c>
      <c r="H46" s="52">
        <v>35.64</v>
      </c>
      <c r="I46" s="52">
        <v>35.64</v>
      </c>
      <c r="J46" s="52">
        <v>35.64</v>
      </c>
      <c r="K46" s="52">
        <v>35.64</v>
      </c>
      <c r="L46" s="52">
        <v>35.64</v>
      </c>
      <c r="M46" s="52">
        <v>35.64</v>
      </c>
      <c r="N46" s="52">
        <v>35.64</v>
      </c>
      <c r="O46" s="52">
        <v>35.64</v>
      </c>
      <c r="P46" s="52">
        <v>35.64</v>
      </c>
      <c r="Q46" s="52">
        <v>35.64</v>
      </c>
      <c r="R46" s="52">
        <v>35.64</v>
      </c>
      <c r="S46" s="52">
        <v>35.64</v>
      </c>
      <c r="T46" s="52"/>
      <c r="U46" s="52">
        <f>ROUND(SUM(H46:T46),5)</f>
        <v>427.68</v>
      </c>
      <c r="V46" s="69">
        <v>450</v>
      </c>
      <c r="W46" s="69">
        <v>450</v>
      </c>
      <c r="X46" s="68" t="s">
        <v>207</v>
      </c>
      <c r="AB46" s="86"/>
      <c r="AC46" s="86"/>
      <c r="AD46" s="86"/>
      <c r="AE46" s="86"/>
      <c r="AF46" s="86"/>
      <c r="AG46" s="86" t="s">
        <v>237</v>
      </c>
      <c r="AH46" s="87"/>
      <c r="AI46" s="87"/>
      <c r="AJ46" s="87"/>
      <c r="AK46" s="87"/>
      <c r="AL46" s="87">
        <v>0</v>
      </c>
      <c r="AM46" s="87">
        <v>0</v>
      </c>
      <c r="AN46" s="87">
        <v>0</v>
      </c>
      <c r="AO46" s="87">
        <v>0</v>
      </c>
      <c r="AP46" s="87">
        <v>0</v>
      </c>
      <c r="AQ46" s="87">
        <v>0</v>
      </c>
      <c r="AR46" s="87">
        <v>0</v>
      </c>
      <c r="AS46" s="87">
        <v>0</v>
      </c>
      <c r="AT46" s="87">
        <v>0</v>
      </c>
      <c r="AU46" s="87">
        <v>0</v>
      </c>
      <c r="AV46" s="87">
        <v>0</v>
      </c>
      <c r="AW46" s="87">
        <v>0</v>
      </c>
      <c r="AX46" s="87"/>
      <c r="AY46" s="88">
        <f t="shared" si="18"/>
        <v>0</v>
      </c>
      <c r="AZ46" s="88">
        <v>5100</v>
      </c>
      <c r="BA46" s="88">
        <v>5500</v>
      </c>
      <c r="BB46" s="89" t="s">
        <v>207</v>
      </c>
    </row>
    <row r="47" spans="1:54" ht="15" thickBot="1" x14ac:dyDescent="0.35">
      <c r="A47" s="50"/>
      <c r="B47" s="50"/>
      <c r="C47" s="50"/>
      <c r="D47" s="50"/>
      <c r="E47" s="50"/>
      <c r="F47" s="50" t="s">
        <v>110</v>
      </c>
      <c r="G47" s="50"/>
      <c r="H47" s="51">
        <f t="shared" ref="H47:S47" si="19">ROUND(SUM(H42:H46),5)</f>
        <v>8808.32</v>
      </c>
      <c r="I47" s="51">
        <f t="shared" si="19"/>
        <v>17329.8</v>
      </c>
      <c r="J47" s="51">
        <f t="shared" si="19"/>
        <v>20635.86</v>
      </c>
      <c r="K47" s="51">
        <f t="shared" si="19"/>
        <v>23023.34</v>
      </c>
      <c r="L47" s="51">
        <f t="shared" si="19"/>
        <v>15880.78</v>
      </c>
      <c r="M47" s="51">
        <f t="shared" si="19"/>
        <v>24390.73</v>
      </c>
      <c r="N47" s="51">
        <f t="shared" si="19"/>
        <v>35651.15</v>
      </c>
      <c r="O47" s="51">
        <f t="shared" si="19"/>
        <v>18420.349999999999</v>
      </c>
      <c r="P47" s="51">
        <f t="shared" si="19"/>
        <v>18331.54</v>
      </c>
      <c r="Q47" s="51">
        <f t="shared" si="19"/>
        <v>27613.21</v>
      </c>
      <c r="R47" s="51">
        <f t="shared" si="19"/>
        <v>18519.61</v>
      </c>
      <c r="S47" s="51">
        <f t="shared" si="19"/>
        <v>22023.49</v>
      </c>
      <c r="T47" s="51"/>
      <c r="U47" s="51">
        <f>ROUND(SUM(H47:T47),5)</f>
        <v>250628.18</v>
      </c>
      <c r="V47" s="51">
        <f>ROUND(SUM(V42:V46),5)</f>
        <v>291950</v>
      </c>
      <c r="W47" s="51">
        <f>ROUND(SUM(W42:W46),5)</f>
        <v>325950</v>
      </c>
      <c r="AB47" s="86"/>
      <c r="AC47" s="86"/>
      <c r="AD47" s="86"/>
      <c r="AE47" s="86"/>
      <c r="AF47" s="86"/>
      <c r="AG47" s="86" t="s">
        <v>109</v>
      </c>
      <c r="AH47" s="90"/>
      <c r="AI47" s="90"/>
      <c r="AJ47" s="90"/>
      <c r="AK47" s="90"/>
      <c r="AL47" s="90">
        <v>35.64</v>
      </c>
      <c r="AM47" s="90">
        <v>35.64</v>
      </c>
      <c r="AN47" s="90">
        <v>35.64</v>
      </c>
      <c r="AO47" s="90">
        <v>35.64</v>
      </c>
      <c r="AP47" s="90">
        <v>35.64</v>
      </c>
      <c r="AQ47" s="90">
        <v>35.64</v>
      </c>
      <c r="AR47" s="90">
        <v>35.64</v>
      </c>
      <c r="AS47" s="90">
        <v>35.64</v>
      </c>
      <c r="AT47" s="90">
        <v>35.64</v>
      </c>
      <c r="AU47" s="90">
        <v>35.64</v>
      </c>
      <c r="AV47" s="90">
        <v>35.64</v>
      </c>
      <c r="AW47" s="90">
        <v>35.64</v>
      </c>
      <c r="AX47" s="90"/>
      <c r="AY47" s="91">
        <f t="shared" si="18"/>
        <v>427.68</v>
      </c>
      <c r="AZ47" s="91">
        <v>450</v>
      </c>
      <c r="BA47" s="91">
        <v>450</v>
      </c>
      <c r="BB47" s="92"/>
    </row>
    <row r="48" spans="1:54" x14ac:dyDescent="0.3">
      <c r="A48" s="50"/>
      <c r="B48" s="50"/>
      <c r="C48" s="50"/>
      <c r="D48" s="50"/>
      <c r="E48" s="50"/>
      <c r="F48" s="50"/>
      <c r="G48" s="50"/>
      <c r="H48" s="51"/>
      <c r="I48" s="51"/>
      <c r="J48" s="51"/>
      <c r="K48" s="51"/>
      <c r="L48" s="51"/>
      <c r="M48" s="51"/>
      <c r="N48" s="51"/>
      <c r="O48" s="51"/>
      <c r="P48" s="51"/>
      <c r="Q48" s="51"/>
      <c r="R48" s="51"/>
      <c r="S48" s="51"/>
      <c r="T48" s="51"/>
      <c r="U48" s="51"/>
      <c r="V48" s="51"/>
      <c r="W48" s="51"/>
      <c r="AB48" s="86"/>
      <c r="AC48" s="86"/>
      <c r="AD48" s="86"/>
      <c r="AE48" s="86"/>
      <c r="AF48" s="86"/>
      <c r="AG48" s="86"/>
      <c r="AH48" s="87"/>
      <c r="AI48" s="87"/>
      <c r="AJ48" s="87"/>
      <c r="AK48" s="87"/>
      <c r="AL48" s="87"/>
      <c r="AM48" s="87"/>
      <c r="AN48" s="87"/>
      <c r="AO48" s="87"/>
      <c r="AP48" s="87"/>
      <c r="AQ48" s="87"/>
      <c r="AR48" s="87"/>
      <c r="AS48" s="87"/>
      <c r="AT48" s="87"/>
      <c r="AU48" s="87"/>
      <c r="AV48" s="87"/>
      <c r="AW48" s="87"/>
      <c r="AX48" s="87"/>
      <c r="AY48" s="88"/>
      <c r="AZ48" s="88"/>
      <c r="BA48" s="88"/>
      <c r="BB48" s="89"/>
    </row>
    <row r="49" spans="1:54" x14ac:dyDescent="0.3">
      <c r="A49" s="50"/>
      <c r="B49" s="50"/>
      <c r="C49" s="50"/>
      <c r="D49" s="50"/>
      <c r="E49" s="50"/>
      <c r="F49" s="50"/>
      <c r="G49" s="50"/>
      <c r="H49" s="51"/>
      <c r="I49" s="51"/>
      <c r="J49" s="51"/>
      <c r="K49" s="51"/>
      <c r="L49" s="51"/>
      <c r="M49" s="51"/>
      <c r="N49" s="51"/>
      <c r="O49" s="51"/>
      <c r="P49" s="51"/>
      <c r="Q49" s="51"/>
      <c r="R49" s="51"/>
      <c r="S49" s="51"/>
      <c r="T49" s="51"/>
      <c r="U49" s="51"/>
      <c r="V49" s="51"/>
      <c r="W49" s="51"/>
      <c r="AB49" s="86"/>
      <c r="AC49" s="86"/>
      <c r="AD49" s="86"/>
      <c r="AE49" s="86"/>
      <c r="AF49" s="86"/>
      <c r="AG49" s="86"/>
      <c r="AH49" s="87"/>
      <c r="AI49" s="87"/>
      <c r="AJ49" s="87"/>
      <c r="AK49" s="87"/>
      <c r="AL49" s="87"/>
      <c r="AM49" s="87"/>
      <c r="AN49" s="87"/>
      <c r="AO49" s="87"/>
      <c r="AP49" s="87"/>
      <c r="AQ49" s="87"/>
      <c r="AR49" s="87"/>
      <c r="AS49" s="87"/>
      <c r="AT49" s="87"/>
      <c r="AU49" s="87"/>
      <c r="AV49" s="87"/>
      <c r="AW49" s="87"/>
      <c r="AX49" s="87"/>
      <c r="AY49" s="88"/>
      <c r="AZ49" s="88"/>
      <c r="BA49" s="88"/>
      <c r="BB49" s="89"/>
    </row>
    <row r="50" spans="1:54" x14ac:dyDescent="0.3">
      <c r="A50" s="50"/>
      <c r="B50" s="50"/>
      <c r="C50" s="50"/>
      <c r="D50" s="50"/>
      <c r="E50" s="50"/>
      <c r="F50" s="50" t="s">
        <v>277</v>
      </c>
      <c r="G50" s="50"/>
      <c r="H50" s="51"/>
      <c r="I50" s="51"/>
      <c r="J50" s="51"/>
      <c r="K50" s="51"/>
      <c r="L50" s="51"/>
      <c r="M50" s="51"/>
      <c r="N50" s="51"/>
      <c r="O50" s="51"/>
      <c r="P50" s="51"/>
      <c r="Q50" s="51"/>
      <c r="R50" s="51"/>
      <c r="S50" s="51"/>
      <c r="T50" s="51"/>
      <c r="U50" s="51"/>
      <c r="V50" s="51"/>
      <c r="W50" s="51"/>
      <c r="AB50" s="86"/>
      <c r="AC50" s="86"/>
      <c r="AD50" s="86"/>
      <c r="AE50" s="86"/>
      <c r="AF50" s="86" t="s">
        <v>110</v>
      </c>
      <c r="AG50" s="86"/>
      <c r="AH50" s="87"/>
      <c r="AI50" s="87"/>
      <c r="AJ50" s="87"/>
      <c r="AK50" s="87"/>
      <c r="AL50" s="87">
        <f t="shared" ref="AL50:AW50" si="20">ROUND(SUM(AL42:AL47),5)</f>
        <v>8978.1200000000008</v>
      </c>
      <c r="AM50" s="87">
        <f t="shared" si="20"/>
        <v>16512.29</v>
      </c>
      <c r="AN50" s="87">
        <f t="shared" si="20"/>
        <v>17701.43</v>
      </c>
      <c r="AO50" s="87">
        <f t="shared" si="20"/>
        <v>28021.75</v>
      </c>
      <c r="AP50" s="87">
        <f t="shared" si="20"/>
        <v>14397.87</v>
      </c>
      <c r="AQ50" s="87">
        <f t="shared" si="20"/>
        <v>18445.650000000001</v>
      </c>
      <c r="AR50" s="87">
        <f t="shared" si="20"/>
        <v>24734.12</v>
      </c>
      <c r="AS50" s="87">
        <f t="shared" si="20"/>
        <v>16782.43</v>
      </c>
      <c r="AT50" s="87">
        <f t="shared" si="20"/>
        <v>16904.16</v>
      </c>
      <c r="AU50" s="87">
        <f t="shared" si="20"/>
        <v>32009.27</v>
      </c>
      <c r="AV50" s="87">
        <f t="shared" si="20"/>
        <v>26933.96</v>
      </c>
      <c r="AW50" s="87">
        <f t="shared" si="20"/>
        <v>21379.13</v>
      </c>
      <c r="AX50" s="87"/>
      <c r="AY50" s="88">
        <f t="shared" si="18"/>
        <v>242800.18</v>
      </c>
      <c r="AZ50" s="88">
        <f>ROUND(SUM(AZ42:AZ47),5)</f>
        <v>288730</v>
      </c>
      <c r="BA50" s="88">
        <f>ROUND(SUM(BA42:BA47),5)</f>
        <v>335630</v>
      </c>
      <c r="BB50" s="89"/>
    </row>
    <row r="51" spans="1:54" ht="15" thickBot="1" x14ac:dyDescent="0.35">
      <c r="A51" s="50"/>
      <c r="B51" s="50"/>
      <c r="C51" s="50"/>
      <c r="D51" s="50"/>
      <c r="E51" s="50"/>
      <c r="F51" s="50"/>
      <c r="G51" s="50" t="s">
        <v>212</v>
      </c>
      <c r="H51" s="52">
        <v>0</v>
      </c>
      <c r="I51" s="52">
        <v>0</v>
      </c>
      <c r="J51" s="52">
        <v>0</v>
      </c>
      <c r="K51" s="52">
        <v>1254.4000000000001</v>
      </c>
      <c r="L51" s="52">
        <v>851.2</v>
      </c>
      <c r="M51" s="52">
        <v>0</v>
      </c>
      <c r="N51" s="52">
        <v>0</v>
      </c>
      <c r="O51" s="52">
        <v>0</v>
      </c>
      <c r="P51" s="52">
        <v>0</v>
      </c>
      <c r="Q51" s="52">
        <v>0</v>
      </c>
      <c r="R51" s="52">
        <v>0</v>
      </c>
      <c r="S51" s="52">
        <v>0</v>
      </c>
      <c r="T51" s="52"/>
      <c r="U51" s="52">
        <f>ROUND(SUM(H51:T51),5)</f>
        <v>2105.6</v>
      </c>
      <c r="V51" s="52">
        <v>43680</v>
      </c>
      <c r="W51" s="52">
        <v>0</v>
      </c>
      <c r="X51" s="68" t="s">
        <v>297</v>
      </c>
      <c r="AB51" s="86"/>
      <c r="AC51" s="86"/>
      <c r="AD51" s="86"/>
      <c r="AE51" s="86"/>
      <c r="AF51" s="86"/>
      <c r="AG51" s="86"/>
      <c r="AH51" s="87"/>
      <c r="AI51" s="87"/>
      <c r="AJ51" s="87"/>
      <c r="AK51" s="87"/>
      <c r="AL51" s="87"/>
      <c r="AM51" s="87"/>
      <c r="AN51" s="87"/>
      <c r="AO51" s="87"/>
      <c r="AP51" s="87"/>
      <c r="AQ51" s="87"/>
      <c r="AR51" s="87"/>
      <c r="AS51" s="87"/>
      <c r="AT51" s="87"/>
      <c r="AU51" s="87"/>
      <c r="AV51" s="87"/>
      <c r="AW51" s="87"/>
      <c r="AX51" s="87"/>
      <c r="AY51" s="88"/>
      <c r="AZ51" s="88"/>
      <c r="BA51" s="88"/>
      <c r="BB51" s="89"/>
    </row>
    <row r="52" spans="1:54" x14ac:dyDescent="0.3">
      <c r="A52" s="50"/>
      <c r="B52" s="50"/>
      <c r="C52" s="50"/>
      <c r="D52" s="50"/>
      <c r="E52" s="50"/>
      <c r="F52" s="50" t="s">
        <v>278</v>
      </c>
      <c r="G52" s="50"/>
      <c r="H52" s="51">
        <f t="shared" ref="H52:P52" si="21">ROUND(SUM(H50:H51),5)</f>
        <v>0</v>
      </c>
      <c r="I52" s="51">
        <f t="shared" si="21"/>
        <v>0</v>
      </c>
      <c r="J52" s="51">
        <f t="shared" si="21"/>
        <v>0</v>
      </c>
      <c r="K52" s="51">
        <f t="shared" si="21"/>
        <v>1254.4000000000001</v>
      </c>
      <c r="L52" s="51">
        <f t="shared" si="21"/>
        <v>851.2</v>
      </c>
      <c r="M52" s="51">
        <f t="shared" si="21"/>
        <v>0</v>
      </c>
      <c r="N52" s="51">
        <f t="shared" si="21"/>
        <v>0</v>
      </c>
      <c r="O52" s="51">
        <f t="shared" si="21"/>
        <v>0</v>
      </c>
      <c r="P52" s="51">
        <f t="shared" si="21"/>
        <v>0</v>
      </c>
      <c r="Q52" s="51">
        <f>ROUND(SUM(Q50:Q51),5)</f>
        <v>0</v>
      </c>
      <c r="R52" s="51">
        <f>ROUND(SUM(R50:R51),5)</f>
        <v>0</v>
      </c>
      <c r="S52" s="51">
        <f>ROUND(SUM(S50:S51),5)</f>
        <v>0</v>
      </c>
      <c r="T52" s="51"/>
      <c r="U52" s="51">
        <f>ROUND(SUM(H52:T52),5)</f>
        <v>2105.6</v>
      </c>
      <c r="V52" s="51">
        <f>ROUND(SUM(V50:V51),5)</f>
        <v>43680</v>
      </c>
      <c r="W52" s="51">
        <f>ROUND(SUM(W50:W51),5)</f>
        <v>0</v>
      </c>
      <c r="AB52" s="86"/>
      <c r="AC52" s="86"/>
      <c r="AD52" s="86"/>
      <c r="AE52" s="86"/>
      <c r="AF52" s="86"/>
      <c r="AG52" s="86"/>
      <c r="AH52" s="87"/>
      <c r="AI52" s="87"/>
      <c r="AJ52" s="87"/>
      <c r="AK52" s="87"/>
      <c r="AL52" s="87"/>
      <c r="AM52" s="87"/>
      <c r="AN52" s="87"/>
      <c r="AO52" s="87"/>
      <c r="AP52" s="87"/>
      <c r="AQ52" s="87"/>
      <c r="AR52" s="87"/>
      <c r="AS52" s="87"/>
      <c r="AT52" s="87"/>
      <c r="AU52" s="87"/>
      <c r="AV52" s="87"/>
      <c r="AW52" s="87"/>
      <c r="AX52" s="87"/>
      <c r="AY52" s="88"/>
      <c r="AZ52" s="88"/>
      <c r="BA52" s="88"/>
      <c r="BB52" s="89"/>
    </row>
    <row r="53" spans="1:54" x14ac:dyDescent="0.3">
      <c r="A53" s="50"/>
      <c r="B53" s="50"/>
      <c r="C53" s="50"/>
      <c r="D53" s="50"/>
      <c r="E53" s="50"/>
      <c r="F53" s="50" t="s">
        <v>111</v>
      </c>
      <c r="G53" s="50"/>
      <c r="H53" s="51"/>
      <c r="I53" s="51"/>
      <c r="J53" s="51"/>
      <c r="K53" s="51"/>
      <c r="L53" s="51"/>
      <c r="M53" s="51"/>
      <c r="N53" s="51"/>
      <c r="O53" s="51"/>
      <c r="P53" s="51"/>
      <c r="Q53" s="51"/>
      <c r="R53" s="51"/>
      <c r="S53" s="51"/>
      <c r="T53" s="51"/>
      <c r="U53" s="51"/>
      <c r="V53" s="51"/>
      <c r="W53" s="51"/>
      <c r="AB53" s="86"/>
      <c r="AC53" s="86"/>
      <c r="AD53" s="86"/>
      <c r="AE53" s="86"/>
      <c r="AF53" s="86" t="s">
        <v>111</v>
      </c>
      <c r="AG53" s="86"/>
      <c r="AH53" s="87"/>
      <c r="AI53" s="87"/>
      <c r="AJ53" s="87"/>
      <c r="AK53" s="87"/>
      <c r="AL53" s="87"/>
      <c r="AM53" s="87"/>
      <c r="AN53" s="87"/>
      <c r="AO53" s="87"/>
      <c r="AP53" s="87"/>
      <c r="AQ53" s="87"/>
      <c r="AR53" s="87"/>
      <c r="AS53" s="87"/>
      <c r="AT53" s="87"/>
      <c r="AU53" s="87"/>
      <c r="AV53" s="87"/>
      <c r="AW53" s="87"/>
      <c r="AX53" s="87"/>
      <c r="AY53" s="88"/>
      <c r="AZ53" s="88"/>
      <c r="BA53" s="88"/>
      <c r="BB53" s="89"/>
    </row>
    <row r="54" spans="1:54" x14ac:dyDescent="0.3">
      <c r="A54" s="50"/>
      <c r="B54" s="50"/>
      <c r="C54" s="50"/>
      <c r="D54" s="50"/>
      <c r="E54" s="50"/>
      <c r="F54" s="50"/>
      <c r="G54" s="50" t="s">
        <v>112</v>
      </c>
      <c r="H54" s="51">
        <v>1363.28</v>
      </c>
      <c r="I54" s="51">
        <v>1867.01</v>
      </c>
      <c r="J54" s="51">
        <v>656.6</v>
      </c>
      <c r="K54" s="51">
        <v>1950.84</v>
      </c>
      <c r="L54" s="51">
        <v>1313.48</v>
      </c>
      <c r="M54" s="51">
        <v>1320.95</v>
      </c>
      <c r="N54" s="51">
        <v>1321.44</v>
      </c>
      <c r="O54" s="51">
        <v>1329.6</v>
      </c>
      <c r="P54" s="51">
        <v>1319.97</v>
      </c>
      <c r="Q54" s="51">
        <v>1985.98</v>
      </c>
      <c r="R54" s="51">
        <v>1328.89</v>
      </c>
      <c r="S54" s="51">
        <v>1197.02</v>
      </c>
      <c r="T54" s="51"/>
      <c r="U54" s="51">
        <f>ROUND(SUM(H54:T54),5)</f>
        <v>16955.060000000001</v>
      </c>
      <c r="V54" s="51">
        <v>21000</v>
      </c>
      <c r="W54" s="51">
        <v>23500</v>
      </c>
      <c r="X54" s="68" t="s">
        <v>207</v>
      </c>
      <c r="AB54" s="86"/>
      <c r="AC54" s="86"/>
      <c r="AD54" s="86"/>
      <c r="AE54" s="86"/>
      <c r="AF54" s="86"/>
      <c r="AG54" s="86" t="s">
        <v>112</v>
      </c>
      <c r="AH54" s="87"/>
      <c r="AI54" s="87"/>
      <c r="AJ54" s="87"/>
      <c r="AK54" s="87"/>
      <c r="AL54" s="87">
        <v>1292.3</v>
      </c>
      <c r="AM54" s="87">
        <v>1764.12</v>
      </c>
      <c r="AN54" s="87">
        <v>589.02</v>
      </c>
      <c r="AO54" s="87">
        <v>2195.9699999999998</v>
      </c>
      <c r="AP54" s="87">
        <v>1217.4100000000001</v>
      </c>
      <c r="AQ54" s="87">
        <v>1220.48</v>
      </c>
      <c r="AR54" s="87">
        <v>1228.23</v>
      </c>
      <c r="AS54" s="87">
        <v>1225.46</v>
      </c>
      <c r="AT54" s="87">
        <v>1234.52</v>
      </c>
      <c r="AU54" s="87">
        <v>1839.28</v>
      </c>
      <c r="AV54" s="87">
        <v>1239.45</v>
      </c>
      <c r="AW54" s="87">
        <v>1365.34</v>
      </c>
      <c r="AX54" s="87"/>
      <c r="AY54" s="88">
        <f>ROUND(SUM(AH54:AX54),5)</f>
        <v>16411.580000000002</v>
      </c>
      <c r="AZ54" s="88">
        <v>16100</v>
      </c>
      <c r="BA54" s="88">
        <v>21000</v>
      </c>
      <c r="BB54" s="89" t="s">
        <v>207</v>
      </c>
    </row>
    <row r="55" spans="1:54" ht="15" thickBot="1" x14ac:dyDescent="0.35">
      <c r="A55" s="50"/>
      <c r="B55" s="50"/>
      <c r="C55" s="50"/>
      <c r="D55" s="50"/>
      <c r="E55" s="50"/>
      <c r="F55" s="50"/>
      <c r="G55" s="50" t="s">
        <v>113</v>
      </c>
      <c r="H55" s="52">
        <v>0</v>
      </c>
      <c r="I55" s="52">
        <v>626.04</v>
      </c>
      <c r="J55" s="52">
        <v>-626.04</v>
      </c>
      <c r="K55" s="52">
        <v>0</v>
      </c>
      <c r="L55" s="52">
        <v>0</v>
      </c>
      <c r="M55" s="52">
        <v>0</v>
      </c>
      <c r="N55" s="52">
        <v>0</v>
      </c>
      <c r="O55" s="52">
        <v>0</v>
      </c>
      <c r="P55" s="52">
        <v>0</v>
      </c>
      <c r="Q55" s="52">
        <v>0</v>
      </c>
      <c r="R55" s="52">
        <v>0</v>
      </c>
      <c r="S55" s="52">
        <v>0</v>
      </c>
      <c r="T55" s="52"/>
      <c r="U55" s="52">
        <f>ROUND(SUM(H55:T55),5)</f>
        <v>0</v>
      </c>
      <c r="V55" s="52">
        <v>0</v>
      </c>
      <c r="W55" s="52">
        <v>0</v>
      </c>
      <c r="AB55" s="86"/>
      <c r="AC55" s="86"/>
      <c r="AD55" s="86"/>
      <c r="AE55" s="86"/>
      <c r="AF55" s="86"/>
      <c r="AG55" s="86" t="s">
        <v>113</v>
      </c>
      <c r="AH55" s="90"/>
      <c r="AI55" s="90"/>
      <c r="AJ55" s="90"/>
      <c r="AK55" s="90"/>
      <c r="AL55" s="90">
        <v>126.98</v>
      </c>
      <c r="AM55" s="90">
        <v>589.03</v>
      </c>
      <c r="AN55" s="90">
        <v>-589.03</v>
      </c>
      <c r="AO55" s="90">
        <v>0</v>
      </c>
      <c r="AP55" s="90">
        <v>0</v>
      </c>
      <c r="AQ55" s="90">
        <v>0</v>
      </c>
      <c r="AR55" s="90">
        <v>0</v>
      </c>
      <c r="AS55" s="90">
        <v>0</v>
      </c>
      <c r="AT55" s="90">
        <v>0</v>
      </c>
      <c r="AU55" s="90">
        <v>0</v>
      </c>
      <c r="AV55" s="90">
        <v>0</v>
      </c>
      <c r="AW55" s="90">
        <v>-126.98</v>
      </c>
      <c r="AX55" s="90"/>
      <c r="AY55" s="91">
        <f>ROUND(SUM(AH55:AX55),5)</f>
        <v>0</v>
      </c>
      <c r="AZ55" s="91">
        <v>0</v>
      </c>
      <c r="BA55" s="91">
        <v>0</v>
      </c>
      <c r="BB55" s="92"/>
    </row>
    <row r="56" spans="1:54" x14ac:dyDescent="0.3">
      <c r="A56" s="50"/>
      <c r="B56" s="50"/>
      <c r="C56" s="50"/>
      <c r="D56" s="50"/>
      <c r="E56" s="50"/>
      <c r="F56" s="50" t="s">
        <v>114</v>
      </c>
      <c r="G56" s="50"/>
      <c r="H56" s="51">
        <f t="shared" ref="H56:P56" si="22">ROUND(SUM(H53:H55),5)</f>
        <v>1363.28</v>
      </c>
      <c r="I56" s="51">
        <f t="shared" si="22"/>
        <v>2493.0500000000002</v>
      </c>
      <c r="J56" s="51">
        <f t="shared" si="22"/>
        <v>30.56</v>
      </c>
      <c r="K56" s="51">
        <f t="shared" si="22"/>
        <v>1950.84</v>
      </c>
      <c r="L56" s="51">
        <f t="shared" si="22"/>
        <v>1313.48</v>
      </c>
      <c r="M56" s="51">
        <f t="shared" si="22"/>
        <v>1320.95</v>
      </c>
      <c r="N56" s="51">
        <f t="shared" si="22"/>
        <v>1321.44</v>
      </c>
      <c r="O56" s="51">
        <f t="shared" si="22"/>
        <v>1329.6</v>
      </c>
      <c r="P56" s="51">
        <f t="shared" si="22"/>
        <v>1319.97</v>
      </c>
      <c r="Q56" s="51">
        <f>ROUND(SUM(Q53:Q55),5)</f>
        <v>1985.98</v>
      </c>
      <c r="R56" s="51">
        <f>ROUND(SUM(R53:R55),5)</f>
        <v>1328.89</v>
      </c>
      <c r="S56" s="51">
        <f>ROUND(SUM(S53:S55),5)</f>
        <v>1197.02</v>
      </c>
      <c r="T56" s="51"/>
      <c r="U56" s="51">
        <f>ROUND(SUM(H56:T56),5)</f>
        <v>16955.060000000001</v>
      </c>
      <c r="V56" s="51">
        <f>ROUND(SUM(V53:V55),5)</f>
        <v>21000</v>
      </c>
      <c r="W56" s="51">
        <f>ROUND(SUM(W53:W55),5)</f>
        <v>23500</v>
      </c>
      <c r="AB56" s="86"/>
      <c r="AC56" s="86"/>
      <c r="AD56" s="86"/>
      <c r="AE56" s="86"/>
      <c r="AF56" s="86" t="s">
        <v>114</v>
      </c>
      <c r="AG56" s="86"/>
      <c r="AH56" s="87"/>
      <c r="AI56" s="87"/>
      <c r="AJ56" s="87"/>
      <c r="AK56" s="87"/>
      <c r="AL56" s="87">
        <f t="shared" ref="AL56:AW56" si="23">ROUND(SUM(AL53:AL55),5)</f>
        <v>1419.28</v>
      </c>
      <c r="AM56" s="87">
        <f t="shared" si="23"/>
        <v>2353.15</v>
      </c>
      <c r="AN56" s="87">
        <f t="shared" si="23"/>
        <v>-0.01</v>
      </c>
      <c r="AO56" s="87">
        <f t="shared" si="23"/>
        <v>2195.9699999999998</v>
      </c>
      <c r="AP56" s="87">
        <f t="shared" si="23"/>
        <v>1217.4100000000001</v>
      </c>
      <c r="AQ56" s="87">
        <f t="shared" si="23"/>
        <v>1220.48</v>
      </c>
      <c r="AR56" s="87">
        <f t="shared" si="23"/>
        <v>1228.23</v>
      </c>
      <c r="AS56" s="87">
        <f t="shared" si="23"/>
        <v>1225.46</v>
      </c>
      <c r="AT56" s="87">
        <f t="shared" si="23"/>
        <v>1234.52</v>
      </c>
      <c r="AU56" s="87">
        <f t="shared" si="23"/>
        <v>1839.28</v>
      </c>
      <c r="AV56" s="87">
        <f t="shared" si="23"/>
        <v>1239.45</v>
      </c>
      <c r="AW56" s="87">
        <f t="shared" si="23"/>
        <v>1238.3599999999999</v>
      </c>
      <c r="AX56" s="87"/>
      <c r="AY56" s="88">
        <f>ROUND(SUM(AH56:AX56),5)</f>
        <v>16411.580000000002</v>
      </c>
      <c r="AZ56" s="88">
        <f>ROUND(SUM(AZ53:AZ55),5)</f>
        <v>16100</v>
      </c>
      <c r="BA56" s="88">
        <f>ROUND(SUM(BA53:BA55),5)</f>
        <v>21000</v>
      </c>
      <c r="BB56" s="89"/>
    </row>
    <row r="57" spans="1:54" x14ac:dyDescent="0.3">
      <c r="A57" s="50"/>
      <c r="B57" s="50"/>
      <c r="C57" s="50"/>
      <c r="D57" s="50"/>
      <c r="E57" s="50"/>
      <c r="F57" s="50" t="s">
        <v>115</v>
      </c>
      <c r="G57" s="50"/>
      <c r="H57" s="51"/>
      <c r="I57" s="51"/>
      <c r="J57" s="51"/>
      <c r="K57" s="51"/>
      <c r="L57" s="51"/>
      <c r="M57" s="51"/>
      <c r="N57" s="51"/>
      <c r="O57" s="51"/>
      <c r="P57" s="51"/>
      <c r="Q57" s="51"/>
      <c r="R57" s="51"/>
      <c r="S57" s="51"/>
      <c r="T57" s="51"/>
      <c r="U57" s="51"/>
      <c r="V57" s="51"/>
      <c r="W57" s="51"/>
      <c r="AB57" s="86"/>
      <c r="AC57" s="86"/>
      <c r="AD57" s="86"/>
      <c r="AE57" s="86"/>
      <c r="AF57" s="86" t="s">
        <v>115</v>
      </c>
      <c r="AG57" s="86"/>
      <c r="AH57" s="87"/>
      <c r="AI57" s="87"/>
      <c r="AJ57" s="87"/>
      <c r="AK57" s="87"/>
      <c r="AL57" s="87"/>
      <c r="AM57" s="87"/>
      <c r="AN57" s="87"/>
      <c r="AO57" s="87"/>
      <c r="AP57" s="87"/>
      <c r="AQ57" s="87"/>
      <c r="AR57" s="87"/>
      <c r="AS57" s="87"/>
      <c r="AT57" s="87"/>
      <c r="AU57" s="87"/>
      <c r="AV57" s="87"/>
      <c r="AW57" s="87"/>
      <c r="AX57" s="87"/>
      <c r="AY57" s="88"/>
      <c r="AZ57" s="88"/>
      <c r="BA57" s="88"/>
      <c r="BB57" s="89"/>
    </row>
    <row r="58" spans="1:54" ht="21.6" x14ac:dyDescent="0.3">
      <c r="A58" s="50"/>
      <c r="B58" s="50"/>
      <c r="C58" s="50"/>
      <c r="D58" s="50"/>
      <c r="E58" s="50"/>
      <c r="F58" s="50"/>
      <c r="G58" s="50" t="s">
        <v>116</v>
      </c>
      <c r="H58" s="51">
        <v>543.91</v>
      </c>
      <c r="I58" s="51">
        <v>1118.73</v>
      </c>
      <c r="J58" s="51">
        <v>1323.72</v>
      </c>
      <c r="K58" s="51">
        <v>1471.73</v>
      </c>
      <c r="L58" s="51">
        <v>1019.6</v>
      </c>
      <c r="M58" s="51">
        <v>1547.22</v>
      </c>
      <c r="N58" s="51">
        <v>2208.17</v>
      </c>
      <c r="O58" s="51">
        <v>1186.3499999999999</v>
      </c>
      <c r="P58" s="51">
        <v>1171.55</v>
      </c>
      <c r="Q58" s="51">
        <v>1756.31</v>
      </c>
      <c r="R58" s="51">
        <v>1192.5</v>
      </c>
      <c r="S58" s="51">
        <v>1929.56</v>
      </c>
      <c r="T58" s="51"/>
      <c r="U58" s="51">
        <f>ROUND(SUM(H58:T58),5)</f>
        <v>16469.349999999999</v>
      </c>
      <c r="V58" s="51">
        <v>18771</v>
      </c>
      <c r="W58" s="51">
        <v>21500</v>
      </c>
      <c r="X58" s="68" t="s">
        <v>208</v>
      </c>
      <c r="AB58" s="86"/>
      <c r="AC58" s="86"/>
      <c r="AD58" s="86"/>
      <c r="AE58" s="86"/>
      <c r="AF58" s="86"/>
      <c r="AG58" s="86" t="s">
        <v>116</v>
      </c>
      <c r="AH58" s="87"/>
      <c r="AI58" s="87"/>
      <c r="AJ58" s="87"/>
      <c r="AK58" s="87"/>
      <c r="AL58" s="87">
        <v>559.08000000000004</v>
      </c>
      <c r="AM58" s="87">
        <v>1068.06</v>
      </c>
      <c r="AN58" s="87">
        <v>1141.78</v>
      </c>
      <c r="AO58" s="87">
        <v>1828.14</v>
      </c>
      <c r="AP58" s="87">
        <v>890.47</v>
      </c>
      <c r="AQ58" s="87">
        <v>1187.93</v>
      </c>
      <c r="AR58" s="87">
        <v>1531.32</v>
      </c>
      <c r="AS58" s="87">
        <v>1084.8</v>
      </c>
      <c r="AT58" s="87">
        <v>1092.3599999999999</v>
      </c>
      <c r="AU58" s="87">
        <v>2075.37</v>
      </c>
      <c r="AV58" s="87">
        <v>1667.7</v>
      </c>
      <c r="AW58" s="87">
        <v>1411.65</v>
      </c>
      <c r="AX58" s="87"/>
      <c r="AY58" s="88">
        <f>ROUND(SUM(AH58:AX58),5)</f>
        <v>15538.66</v>
      </c>
      <c r="AZ58" s="88">
        <v>19000</v>
      </c>
      <c r="BA58" s="88">
        <f>ROUND((BA43+BA45+BA46+BA93)*0.062,0)</f>
        <v>18771</v>
      </c>
      <c r="BB58" s="89" t="s">
        <v>208</v>
      </c>
    </row>
    <row r="59" spans="1:54" ht="22.2" thickBot="1" x14ac:dyDescent="0.35">
      <c r="A59" s="50"/>
      <c r="B59" s="50"/>
      <c r="C59" s="50"/>
      <c r="D59" s="50"/>
      <c r="E59" s="50"/>
      <c r="F59" s="50"/>
      <c r="G59" s="50" t="s">
        <v>117</v>
      </c>
      <c r="H59" s="52">
        <v>127.2</v>
      </c>
      <c r="I59" s="52">
        <v>261.66000000000003</v>
      </c>
      <c r="J59" s="52">
        <v>309.60000000000002</v>
      </c>
      <c r="K59" s="52">
        <v>344.23</v>
      </c>
      <c r="L59" s="52">
        <v>238.47</v>
      </c>
      <c r="M59" s="52">
        <v>361.87</v>
      </c>
      <c r="N59" s="52">
        <v>516.42999999999995</v>
      </c>
      <c r="O59" s="52">
        <v>277.47000000000003</v>
      </c>
      <c r="P59" s="52">
        <v>274.01</v>
      </c>
      <c r="Q59" s="52">
        <v>410.79</v>
      </c>
      <c r="R59" s="52">
        <v>278.92</v>
      </c>
      <c r="S59" s="52">
        <v>451.33</v>
      </c>
      <c r="T59" s="52"/>
      <c r="U59" s="52">
        <f>ROUND(SUM(H59:T59),5)</f>
        <v>3851.98</v>
      </c>
      <c r="V59" s="52">
        <v>4390</v>
      </c>
      <c r="W59" s="52">
        <v>5000</v>
      </c>
      <c r="X59" s="68" t="s">
        <v>208</v>
      </c>
      <c r="AB59" s="86"/>
      <c r="AC59" s="86"/>
      <c r="AD59" s="86"/>
      <c r="AE59" s="86"/>
      <c r="AF59" s="86"/>
      <c r="AG59" s="86" t="s">
        <v>117</v>
      </c>
      <c r="AH59" s="90"/>
      <c r="AI59" s="90"/>
      <c r="AJ59" s="90"/>
      <c r="AK59" s="90"/>
      <c r="AL59" s="90">
        <v>130.76</v>
      </c>
      <c r="AM59" s="90">
        <v>249.81</v>
      </c>
      <c r="AN59" s="90">
        <v>267.06</v>
      </c>
      <c r="AO59" s="90">
        <v>427.6</v>
      </c>
      <c r="AP59" s="90">
        <v>208.26</v>
      </c>
      <c r="AQ59" s="90">
        <v>277.83999999999997</v>
      </c>
      <c r="AR59" s="90">
        <v>358.11</v>
      </c>
      <c r="AS59" s="90">
        <v>253.72</v>
      </c>
      <c r="AT59" s="90">
        <v>255.51</v>
      </c>
      <c r="AU59" s="90">
        <v>485.42</v>
      </c>
      <c r="AV59" s="90">
        <v>390.03</v>
      </c>
      <c r="AW59" s="90">
        <v>330.2</v>
      </c>
      <c r="AX59" s="90"/>
      <c r="AY59" s="91">
        <f>ROUND(SUM(AH59:AX59),5)</f>
        <v>3634.32</v>
      </c>
      <c r="AZ59" s="91">
        <v>4000</v>
      </c>
      <c r="BA59" s="91">
        <f>ROUND((BA43+BA45+BA46+BA93)*0.0145,0)</f>
        <v>4390</v>
      </c>
      <c r="BB59" s="92" t="s">
        <v>208</v>
      </c>
    </row>
    <row r="60" spans="1:54" x14ac:dyDescent="0.3">
      <c r="A60" s="50"/>
      <c r="B60" s="50"/>
      <c r="C60" s="50"/>
      <c r="D60" s="50"/>
      <c r="E60" s="50"/>
      <c r="F60" s="50" t="s">
        <v>118</v>
      </c>
      <c r="G60" s="50"/>
      <c r="H60" s="51">
        <f t="shared" ref="H60:P60" si="24">ROUND(SUM(H57:H59),5)</f>
        <v>671.11</v>
      </c>
      <c r="I60" s="51">
        <f t="shared" si="24"/>
        <v>1380.39</v>
      </c>
      <c r="J60" s="51">
        <f t="shared" si="24"/>
        <v>1633.32</v>
      </c>
      <c r="K60" s="51">
        <f t="shared" si="24"/>
        <v>1815.96</v>
      </c>
      <c r="L60" s="51">
        <f t="shared" si="24"/>
        <v>1258.07</v>
      </c>
      <c r="M60" s="51">
        <f t="shared" si="24"/>
        <v>1909.09</v>
      </c>
      <c r="N60" s="51">
        <f t="shared" si="24"/>
        <v>2724.6</v>
      </c>
      <c r="O60" s="51">
        <f t="shared" si="24"/>
        <v>1463.82</v>
      </c>
      <c r="P60" s="51">
        <f t="shared" si="24"/>
        <v>1445.56</v>
      </c>
      <c r="Q60" s="51">
        <f>ROUND(SUM(Q57:Q59),5)</f>
        <v>2167.1</v>
      </c>
      <c r="R60" s="51">
        <f>ROUND(SUM(R57:R59),5)</f>
        <v>1471.42</v>
      </c>
      <c r="S60" s="51">
        <f>ROUND(SUM(S57:S59),5)</f>
        <v>2380.89</v>
      </c>
      <c r="T60" s="51"/>
      <c r="U60" s="51">
        <f>ROUND(SUM(H60:T60),5)</f>
        <v>20321.330000000002</v>
      </c>
      <c r="V60" s="51">
        <f>ROUND(SUM(V57:V59),5)</f>
        <v>23161</v>
      </c>
      <c r="W60" s="51">
        <f>ROUND(SUM(W57:W59),5)</f>
        <v>26500</v>
      </c>
      <c r="AB60" s="86"/>
      <c r="AC60" s="86"/>
      <c r="AD60" s="86"/>
      <c r="AE60" s="86"/>
      <c r="AF60" s="86" t="s">
        <v>118</v>
      </c>
      <c r="AG60" s="86"/>
      <c r="AH60" s="87"/>
      <c r="AI60" s="87"/>
      <c r="AJ60" s="87"/>
      <c r="AK60" s="87"/>
      <c r="AL60" s="87">
        <f t="shared" ref="AL60:AW60" si="25">ROUND(SUM(AL57:AL59),5)</f>
        <v>689.84</v>
      </c>
      <c r="AM60" s="87">
        <f t="shared" si="25"/>
        <v>1317.87</v>
      </c>
      <c r="AN60" s="87">
        <f t="shared" si="25"/>
        <v>1408.84</v>
      </c>
      <c r="AO60" s="87">
        <f t="shared" si="25"/>
        <v>2255.7399999999998</v>
      </c>
      <c r="AP60" s="87">
        <f t="shared" si="25"/>
        <v>1098.73</v>
      </c>
      <c r="AQ60" s="87">
        <f t="shared" si="25"/>
        <v>1465.77</v>
      </c>
      <c r="AR60" s="87">
        <f t="shared" si="25"/>
        <v>1889.43</v>
      </c>
      <c r="AS60" s="87">
        <f t="shared" si="25"/>
        <v>1338.52</v>
      </c>
      <c r="AT60" s="87">
        <f t="shared" si="25"/>
        <v>1347.87</v>
      </c>
      <c r="AU60" s="87">
        <f t="shared" si="25"/>
        <v>2560.79</v>
      </c>
      <c r="AV60" s="87">
        <f t="shared" si="25"/>
        <v>2057.73</v>
      </c>
      <c r="AW60" s="87">
        <f t="shared" si="25"/>
        <v>1741.85</v>
      </c>
      <c r="AX60" s="87"/>
      <c r="AY60" s="88">
        <f>ROUND(SUM(AH60:AX60),5)</f>
        <v>19172.98</v>
      </c>
      <c r="AZ60" s="88">
        <f>ROUND(SUM(AZ57:AZ59),5)</f>
        <v>23000</v>
      </c>
      <c r="BA60" s="88">
        <f>ROUND(SUM(BA57:BA59),5)</f>
        <v>23161</v>
      </c>
      <c r="BB60" s="89"/>
    </row>
    <row r="61" spans="1:54" x14ac:dyDescent="0.3">
      <c r="A61" s="50"/>
      <c r="B61" s="50"/>
      <c r="C61" s="50"/>
      <c r="D61" s="50"/>
      <c r="E61" s="50"/>
      <c r="F61" s="50" t="s">
        <v>119</v>
      </c>
      <c r="G61" s="50"/>
      <c r="H61" s="51"/>
      <c r="I61" s="51"/>
      <c r="J61" s="51"/>
      <c r="K61" s="51"/>
      <c r="L61" s="51"/>
      <c r="M61" s="51"/>
      <c r="N61" s="51"/>
      <c r="O61" s="51"/>
      <c r="P61" s="51"/>
      <c r="Q61" s="51"/>
      <c r="R61" s="51"/>
      <c r="S61" s="51"/>
      <c r="T61" s="51"/>
      <c r="U61" s="51"/>
      <c r="V61" s="51"/>
      <c r="W61" s="51"/>
      <c r="AB61" s="86"/>
      <c r="AC61" s="86"/>
      <c r="AD61" s="86"/>
      <c r="AE61" s="86"/>
      <c r="AF61" s="86" t="s">
        <v>119</v>
      </c>
      <c r="AG61" s="86"/>
      <c r="AH61" s="87"/>
      <c r="AI61" s="87"/>
      <c r="AJ61" s="87"/>
      <c r="AK61" s="87"/>
      <c r="AL61" s="87"/>
      <c r="AM61" s="87"/>
      <c r="AN61" s="87"/>
      <c r="AO61" s="87"/>
      <c r="AP61" s="87"/>
      <c r="AQ61" s="87"/>
      <c r="AR61" s="87"/>
      <c r="AS61" s="87"/>
      <c r="AT61" s="87"/>
      <c r="AU61" s="87"/>
      <c r="AV61" s="87"/>
      <c r="AW61" s="87"/>
      <c r="AX61" s="87"/>
      <c r="AY61" s="88"/>
      <c r="AZ61" s="88"/>
      <c r="BA61" s="88"/>
      <c r="BB61" s="89"/>
    </row>
    <row r="62" spans="1:54" x14ac:dyDescent="0.3">
      <c r="A62" s="50"/>
      <c r="B62" s="50"/>
      <c r="C62" s="50"/>
      <c r="D62" s="50"/>
      <c r="E62" s="50"/>
      <c r="F62" s="50"/>
      <c r="G62" s="50" t="s">
        <v>120</v>
      </c>
      <c r="H62" s="51">
        <v>7851.47</v>
      </c>
      <c r="I62" s="51">
        <v>3925.93</v>
      </c>
      <c r="J62" s="51">
        <v>0</v>
      </c>
      <c r="K62" s="51">
        <v>3925.93</v>
      </c>
      <c r="L62" s="51">
        <v>3254.42</v>
      </c>
      <c r="M62" s="51">
        <v>3254.42</v>
      </c>
      <c r="N62" s="51">
        <v>3379.51</v>
      </c>
      <c r="O62" s="51">
        <v>3379.51</v>
      </c>
      <c r="P62" s="51">
        <v>3379.51</v>
      </c>
      <c r="Q62" s="51">
        <v>3379.51</v>
      </c>
      <c r="R62" s="51">
        <v>3379.51</v>
      </c>
      <c r="S62" s="51">
        <v>3379.51</v>
      </c>
      <c r="T62" s="51"/>
      <c r="U62" s="51">
        <f>ROUND(SUM(H62:T62),5)</f>
        <v>42489.23</v>
      </c>
      <c r="V62" s="67">
        <v>60000</v>
      </c>
      <c r="W62" s="67">
        <v>50000</v>
      </c>
      <c r="X62" s="68" t="s">
        <v>207</v>
      </c>
      <c r="AB62" s="86"/>
      <c r="AC62" s="86"/>
      <c r="AD62" s="86"/>
      <c r="AE62" s="86"/>
      <c r="AF62" s="86"/>
      <c r="AG62" s="86" t="s">
        <v>120</v>
      </c>
      <c r="AH62" s="87"/>
      <c r="AI62" s="87"/>
      <c r="AJ62" s="87"/>
      <c r="AK62" s="87"/>
      <c r="AL62" s="87">
        <v>3878.65</v>
      </c>
      <c r="AM62" s="87">
        <v>3212.66</v>
      </c>
      <c r="AN62" s="87">
        <v>0</v>
      </c>
      <c r="AO62" s="87">
        <v>3212.66</v>
      </c>
      <c r="AP62" s="87">
        <v>3212.66</v>
      </c>
      <c r="AQ62" s="87">
        <v>3212.66</v>
      </c>
      <c r="AR62" s="87">
        <v>3254.09</v>
      </c>
      <c r="AS62" s="87">
        <v>3254.09</v>
      </c>
      <c r="AT62" s="87">
        <v>4596.99</v>
      </c>
      <c r="AU62" s="87">
        <v>3925.54</v>
      </c>
      <c r="AV62" s="87">
        <v>5212.17</v>
      </c>
      <c r="AW62" s="87">
        <v>8800.1</v>
      </c>
      <c r="AX62" s="87"/>
      <c r="AY62" s="88">
        <f>ROUND(SUM(AH62:AX62),5)</f>
        <v>45772.27</v>
      </c>
      <c r="AZ62" s="88">
        <v>60000</v>
      </c>
      <c r="BA62" s="88">
        <v>60000</v>
      </c>
      <c r="BB62" s="89" t="s">
        <v>207</v>
      </c>
    </row>
    <row r="63" spans="1:54" x14ac:dyDescent="0.3">
      <c r="A63" s="50"/>
      <c r="B63" s="50"/>
      <c r="C63" s="50"/>
      <c r="D63" s="50"/>
      <c r="E63" s="50"/>
      <c r="F63" s="50"/>
      <c r="G63" s="50" t="s">
        <v>121</v>
      </c>
      <c r="H63" s="51">
        <v>147.69</v>
      </c>
      <c r="I63" s="51">
        <v>0</v>
      </c>
      <c r="J63" s="51">
        <v>0</v>
      </c>
      <c r="K63" s="51">
        <v>49.23</v>
      </c>
      <c r="L63" s="51">
        <v>71.760000000000005</v>
      </c>
      <c r="M63" s="51">
        <v>80.66</v>
      </c>
      <c r="N63" s="51">
        <v>40.33</v>
      </c>
      <c r="O63" s="51">
        <v>0</v>
      </c>
      <c r="P63" s="51">
        <v>80.66</v>
      </c>
      <c r="Q63" s="51">
        <v>0</v>
      </c>
      <c r="R63" s="51">
        <v>49.23</v>
      </c>
      <c r="S63" s="51">
        <v>65.28</v>
      </c>
      <c r="T63" s="51"/>
      <c r="U63" s="51">
        <f>ROUND(SUM(H63:T63),5)</f>
        <v>584.84</v>
      </c>
      <c r="V63" s="67">
        <v>1000</v>
      </c>
      <c r="W63" s="67">
        <v>800</v>
      </c>
      <c r="X63" s="68" t="s">
        <v>207</v>
      </c>
      <c r="AB63" s="86"/>
      <c r="AC63" s="86"/>
      <c r="AD63" s="86"/>
      <c r="AE63" s="86"/>
      <c r="AF63" s="86"/>
      <c r="AG63" s="86" t="s">
        <v>121</v>
      </c>
      <c r="AH63" s="87"/>
      <c r="AI63" s="87"/>
      <c r="AJ63" s="87"/>
      <c r="AK63" s="87"/>
      <c r="AL63" s="87">
        <v>46.72</v>
      </c>
      <c r="AM63" s="87">
        <v>40.33</v>
      </c>
      <c r="AN63" s="87">
        <v>40.33</v>
      </c>
      <c r="AO63" s="87">
        <v>40.33</v>
      </c>
      <c r="AP63" s="87">
        <v>40.33</v>
      </c>
      <c r="AQ63" s="87">
        <v>40.33</v>
      </c>
      <c r="AR63" s="87">
        <v>49.23</v>
      </c>
      <c r="AS63" s="87">
        <v>0</v>
      </c>
      <c r="AT63" s="87">
        <v>98.46</v>
      </c>
      <c r="AU63" s="87">
        <v>49.23</v>
      </c>
      <c r="AV63" s="87">
        <v>65.28</v>
      </c>
      <c r="AW63" s="87">
        <v>112</v>
      </c>
      <c r="AX63" s="87"/>
      <c r="AY63" s="88">
        <f>ROUND(SUM(AH63:AX63),5)</f>
        <v>622.57000000000005</v>
      </c>
      <c r="AZ63" s="88">
        <v>850</v>
      </c>
      <c r="BA63" s="88">
        <v>1000</v>
      </c>
      <c r="BB63" s="89" t="s">
        <v>207</v>
      </c>
    </row>
    <row r="64" spans="1:54" ht="15" thickBot="1" x14ac:dyDescent="0.35">
      <c r="A64" s="50"/>
      <c r="B64" s="50"/>
      <c r="C64" s="50"/>
      <c r="D64" s="50"/>
      <c r="E64" s="50"/>
      <c r="F64" s="50"/>
      <c r="G64" s="50" t="s">
        <v>122</v>
      </c>
      <c r="H64" s="52">
        <v>664.72</v>
      </c>
      <c r="I64" s="52">
        <v>332.36</v>
      </c>
      <c r="J64" s="52">
        <v>272.48</v>
      </c>
      <c r="K64" s="52">
        <v>272.48</v>
      </c>
      <c r="L64" s="52">
        <v>272.48</v>
      </c>
      <c r="M64" s="52">
        <v>0</v>
      </c>
      <c r="N64" s="52">
        <v>544.96</v>
      </c>
      <c r="O64" s="52">
        <v>0</v>
      </c>
      <c r="P64" s="52">
        <v>558.6</v>
      </c>
      <c r="Q64" s="52">
        <v>286.12</v>
      </c>
      <c r="R64" s="52">
        <v>286.12</v>
      </c>
      <c r="S64" s="52">
        <v>286.12</v>
      </c>
      <c r="T64" s="52"/>
      <c r="U64" s="52">
        <f>ROUND(SUM(H64:T64),5)</f>
        <v>3776.44</v>
      </c>
      <c r="V64" s="69">
        <v>3800</v>
      </c>
      <c r="W64" s="69">
        <v>3200</v>
      </c>
      <c r="X64" s="68" t="s">
        <v>207</v>
      </c>
      <c r="AB64" s="86"/>
      <c r="AC64" s="86"/>
      <c r="AD64" s="86"/>
      <c r="AE64" s="86"/>
      <c r="AF64" s="86"/>
      <c r="AG64" s="86" t="s">
        <v>122</v>
      </c>
      <c r="AH64" s="90"/>
      <c r="AI64" s="90"/>
      <c r="AJ64" s="90"/>
      <c r="AK64" s="90"/>
      <c r="AL64" s="90">
        <v>332.36</v>
      </c>
      <c r="AM64" s="90">
        <v>272.48</v>
      </c>
      <c r="AN64" s="90">
        <v>272.48</v>
      </c>
      <c r="AO64" s="90">
        <v>272.48</v>
      </c>
      <c r="AP64" s="90">
        <v>272.48</v>
      </c>
      <c r="AQ64" s="90">
        <v>272.48</v>
      </c>
      <c r="AR64" s="90">
        <v>332.36</v>
      </c>
      <c r="AS64" s="90">
        <v>0</v>
      </c>
      <c r="AT64" s="90">
        <v>664.72</v>
      </c>
      <c r="AU64" s="90">
        <v>332.36</v>
      </c>
      <c r="AV64" s="90">
        <v>447.04</v>
      </c>
      <c r="AW64" s="90">
        <v>429.76</v>
      </c>
      <c r="AX64" s="90"/>
      <c r="AY64" s="91">
        <f>ROUND(SUM(AH64:AX64),5)</f>
        <v>3901</v>
      </c>
      <c r="AZ64" s="91">
        <v>4100</v>
      </c>
      <c r="BA64" s="91">
        <v>3800</v>
      </c>
      <c r="BB64" s="92" t="s">
        <v>207</v>
      </c>
    </row>
    <row r="65" spans="1:54" x14ac:dyDescent="0.3">
      <c r="A65" s="50"/>
      <c r="B65" s="50"/>
      <c r="C65" s="50"/>
      <c r="D65" s="50"/>
      <c r="E65" s="50"/>
      <c r="F65" s="50" t="s">
        <v>123</v>
      </c>
      <c r="G65" s="50"/>
      <c r="H65" s="51">
        <f t="shared" ref="H65:P65" si="26">ROUND(SUM(H61:H64),5)</f>
        <v>8663.8799999999992</v>
      </c>
      <c r="I65" s="51">
        <f t="shared" si="26"/>
        <v>4258.29</v>
      </c>
      <c r="J65" s="51">
        <f t="shared" si="26"/>
        <v>272.48</v>
      </c>
      <c r="K65" s="51">
        <f t="shared" si="26"/>
        <v>4247.6400000000003</v>
      </c>
      <c r="L65" s="51">
        <f t="shared" si="26"/>
        <v>3598.66</v>
      </c>
      <c r="M65" s="51">
        <f t="shared" si="26"/>
        <v>3335.08</v>
      </c>
      <c r="N65" s="51">
        <f t="shared" si="26"/>
        <v>3964.8</v>
      </c>
      <c r="O65" s="51">
        <f t="shared" si="26"/>
        <v>3379.51</v>
      </c>
      <c r="P65" s="51">
        <f t="shared" si="26"/>
        <v>4018.77</v>
      </c>
      <c r="Q65" s="51">
        <f>ROUND(SUM(Q61:Q64),5)</f>
        <v>3665.63</v>
      </c>
      <c r="R65" s="51">
        <f>ROUND(SUM(R61:R64),5)</f>
        <v>3714.86</v>
      </c>
      <c r="S65" s="51">
        <f>ROUND(SUM(S61:S64),5)</f>
        <v>3730.91</v>
      </c>
      <c r="T65" s="51"/>
      <c r="U65" s="51">
        <f>ROUND(SUM(H65:T65),5)</f>
        <v>46850.51</v>
      </c>
      <c r="V65" s="51">
        <f>ROUND(SUM(V61:V64),5)</f>
        <v>64800</v>
      </c>
      <c r="W65" s="51">
        <f>ROUND(SUM(W61:W64),5)</f>
        <v>54000</v>
      </c>
      <c r="AB65" s="86"/>
      <c r="AC65" s="86"/>
      <c r="AD65" s="86"/>
      <c r="AE65" s="86"/>
      <c r="AF65" s="86" t="s">
        <v>123</v>
      </c>
      <c r="AG65" s="86"/>
      <c r="AH65" s="87"/>
      <c r="AI65" s="87"/>
      <c r="AJ65" s="87"/>
      <c r="AK65" s="87"/>
      <c r="AL65" s="87">
        <f t="shared" ref="AL65:AW65" si="27">ROUND(SUM(AL61:AL64),5)</f>
        <v>4257.7299999999996</v>
      </c>
      <c r="AM65" s="87">
        <f t="shared" si="27"/>
        <v>3525.47</v>
      </c>
      <c r="AN65" s="87">
        <f t="shared" si="27"/>
        <v>312.81</v>
      </c>
      <c r="AO65" s="87">
        <f t="shared" si="27"/>
        <v>3525.47</v>
      </c>
      <c r="AP65" s="87">
        <f t="shared" si="27"/>
        <v>3525.47</v>
      </c>
      <c r="AQ65" s="87">
        <f t="shared" si="27"/>
        <v>3525.47</v>
      </c>
      <c r="AR65" s="87">
        <f t="shared" si="27"/>
        <v>3635.68</v>
      </c>
      <c r="AS65" s="87">
        <f t="shared" si="27"/>
        <v>3254.09</v>
      </c>
      <c r="AT65" s="87">
        <f t="shared" si="27"/>
        <v>5360.17</v>
      </c>
      <c r="AU65" s="87">
        <f t="shared" si="27"/>
        <v>4307.13</v>
      </c>
      <c r="AV65" s="87">
        <f t="shared" si="27"/>
        <v>5724.49</v>
      </c>
      <c r="AW65" s="87">
        <f t="shared" si="27"/>
        <v>9341.86</v>
      </c>
      <c r="AX65" s="87"/>
      <c r="AY65" s="88">
        <f>ROUND(SUM(AH65:AX65),5)</f>
        <v>50295.839999999997</v>
      </c>
      <c r="AZ65" s="88">
        <f>ROUND(SUM(AZ61:AZ64),5)</f>
        <v>64950</v>
      </c>
      <c r="BA65" s="88">
        <f>ROUND(SUM(BA61:BA64),5)</f>
        <v>64800</v>
      </c>
      <c r="BB65" s="89"/>
    </row>
    <row r="66" spans="1:54" x14ac:dyDescent="0.3">
      <c r="A66" s="50"/>
      <c r="B66" s="50"/>
      <c r="C66" s="50"/>
      <c r="D66" s="50"/>
      <c r="E66" s="50"/>
      <c r="F66" s="50" t="s">
        <v>124</v>
      </c>
      <c r="G66" s="50"/>
      <c r="H66" s="51"/>
      <c r="I66" s="51"/>
      <c r="J66" s="51"/>
      <c r="K66" s="51"/>
      <c r="L66" s="51"/>
      <c r="M66" s="51"/>
      <c r="N66" s="51"/>
      <c r="O66" s="51"/>
      <c r="P66" s="51"/>
      <c r="Q66" s="51"/>
      <c r="R66" s="51"/>
      <c r="S66" s="51"/>
      <c r="T66" s="51"/>
      <c r="U66" s="51"/>
      <c r="V66" s="51"/>
      <c r="W66" s="51"/>
      <c r="AB66" s="86"/>
      <c r="AC66" s="86"/>
      <c r="AD66" s="86"/>
      <c r="AE66" s="86"/>
      <c r="AF66" s="86" t="s">
        <v>124</v>
      </c>
      <c r="AG66" s="86"/>
      <c r="AH66" s="87"/>
      <c r="AI66" s="87"/>
      <c r="AJ66" s="87"/>
      <c r="AK66" s="87"/>
      <c r="AL66" s="87"/>
      <c r="AM66" s="87"/>
      <c r="AN66" s="87"/>
      <c r="AO66" s="87"/>
      <c r="AP66" s="87"/>
      <c r="AQ66" s="87"/>
      <c r="AR66" s="87"/>
      <c r="AS66" s="87"/>
      <c r="AT66" s="87"/>
      <c r="AU66" s="87"/>
      <c r="AV66" s="87"/>
      <c r="AW66" s="87"/>
      <c r="AX66" s="87"/>
      <c r="AY66" s="88"/>
      <c r="AZ66" s="88"/>
      <c r="BA66" s="88"/>
      <c r="BB66" s="89"/>
    </row>
    <row r="67" spans="1:54" ht="31.8" x14ac:dyDescent="0.3">
      <c r="A67" s="50"/>
      <c r="B67" s="50"/>
      <c r="C67" s="50"/>
      <c r="D67" s="50"/>
      <c r="E67" s="50"/>
      <c r="F67" s="50"/>
      <c r="G67" s="50" t="s">
        <v>125</v>
      </c>
      <c r="H67" s="51">
        <v>920.16</v>
      </c>
      <c r="I67" s="51">
        <v>2249.3000000000002</v>
      </c>
      <c r="J67" s="51">
        <v>920.16</v>
      </c>
      <c r="K67" s="51">
        <v>920.16</v>
      </c>
      <c r="L67" s="51">
        <v>920.16</v>
      </c>
      <c r="M67" s="51">
        <v>920.16</v>
      </c>
      <c r="N67" s="51">
        <v>920.16</v>
      </c>
      <c r="O67" s="51">
        <v>920.16</v>
      </c>
      <c r="P67" s="51">
        <v>920.16</v>
      </c>
      <c r="Q67" s="51">
        <v>920.16</v>
      </c>
      <c r="R67" s="51">
        <v>920.16</v>
      </c>
      <c r="S67" s="51">
        <v>1042.3499999999999</v>
      </c>
      <c r="T67" s="51"/>
      <c r="U67" s="51">
        <f>ROUND(SUM(H67:T67),5)</f>
        <v>12493.25</v>
      </c>
      <c r="V67" s="67">
        <v>22000</v>
      </c>
      <c r="W67" s="67">
        <v>22000</v>
      </c>
      <c r="X67" s="68" t="s">
        <v>256</v>
      </c>
      <c r="AB67" s="86"/>
      <c r="AC67" s="86"/>
      <c r="AD67" s="86"/>
      <c r="AE67" s="86"/>
      <c r="AF67" s="86"/>
      <c r="AG67" s="86" t="s">
        <v>125</v>
      </c>
      <c r="AH67" s="87"/>
      <c r="AI67" s="87"/>
      <c r="AJ67" s="87"/>
      <c r="AK67" s="87"/>
      <c r="AL67" s="87">
        <v>1042.3699999999999</v>
      </c>
      <c r="AM67" s="87">
        <v>1042.3699999999999</v>
      </c>
      <c r="AN67" s="87">
        <v>3266.71</v>
      </c>
      <c r="AO67" s="87">
        <v>1042.3699999999999</v>
      </c>
      <c r="AP67" s="87">
        <v>1042.3699999999999</v>
      </c>
      <c r="AQ67" s="87">
        <v>1042.3699999999999</v>
      </c>
      <c r="AR67" s="87">
        <v>1042.3699999999999</v>
      </c>
      <c r="AS67" s="87">
        <v>1042.3699999999999</v>
      </c>
      <c r="AT67" s="87">
        <v>1042.3699999999999</v>
      </c>
      <c r="AU67" s="87">
        <v>1042.3699999999999</v>
      </c>
      <c r="AV67" s="87">
        <v>1590.57</v>
      </c>
      <c r="AW67" s="87">
        <v>1590.51</v>
      </c>
      <c r="AX67" s="87"/>
      <c r="AY67" s="88">
        <f>ROUND(SUM(AH67:AX67),5)</f>
        <v>15829.12</v>
      </c>
      <c r="AZ67" s="88">
        <v>17000</v>
      </c>
      <c r="BA67" s="88">
        <v>22000</v>
      </c>
      <c r="BB67" s="89" t="s">
        <v>256</v>
      </c>
    </row>
    <row r="68" spans="1:54" x14ac:dyDescent="0.3">
      <c r="A68" s="50"/>
      <c r="B68" s="50"/>
      <c r="C68" s="50"/>
      <c r="D68" s="50"/>
      <c r="E68" s="50"/>
      <c r="F68" s="50"/>
      <c r="G68" s="50" t="s">
        <v>199</v>
      </c>
      <c r="H68" s="51">
        <v>0</v>
      </c>
      <c r="I68" s="51">
        <v>0</v>
      </c>
      <c r="J68" s="51">
        <v>0</v>
      </c>
      <c r="K68" s="51">
        <v>0</v>
      </c>
      <c r="L68" s="51">
        <v>0</v>
      </c>
      <c r="M68" s="51">
        <v>0</v>
      </c>
      <c r="N68" s="51">
        <v>0</v>
      </c>
      <c r="O68" s="51">
        <v>0</v>
      </c>
      <c r="P68" s="51">
        <v>0</v>
      </c>
      <c r="Q68" s="51">
        <v>0</v>
      </c>
      <c r="R68" s="51">
        <v>0</v>
      </c>
      <c r="S68" s="51">
        <v>0</v>
      </c>
      <c r="T68" s="51">
        <v>0</v>
      </c>
      <c r="U68" s="51">
        <v>0</v>
      </c>
      <c r="V68" s="67">
        <v>1600</v>
      </c>
      <c r="W68" s="67">
        <v>1500</v>
      </c>
      <c r="AB68" s="86"/>
      <c r="AC68" s="86"/>
      <c r="AD68" s="86"/>
      <c r="AE68" s="86"/>
      <c r="AF68" s="86"/>
      <c r="AG68" s="86" t="s">
        <v>199</v>
      </c>
      <c r="AH68" s="87"/>
      <c r="AI68" s="87"/>
      <c r="AJ68" s="87"/>
      <c r="AK68" s="87"/>
      <c r="AL68" s="87">
        <v>0</v>
      </c>
      <c r="AM68" s="87">
        <v>0</v>
      </c>
      <c r="AN68" s="87">
        <v>0</v>
      </c>
      <c r="AO68" s="87">
        <v>0</v>
      </c>
      <c r="AP68" s="87">
        <v>0</v>
      </c>
      <c r="AQ68" s="87">
        <v>0</v>
      </c>
      <c r="AR68" s="87">
        <v>0</v>
      </c>
      <c r="AS68" s="87">
        <v>0</v>
      </c>
      <c r="AT68" s="87">
        <v>0</v>
      </c>
      <c r="AU68" s="87">
        <v>0</v>
      </c>
      <c r="AV68" s="87">
        <v>0</v>
      </c>
      <c r="AW68" s="87">
        <v>0</v>
      </c>
      <c r="AX68" s="87"/>
      <c r="AY68" s="88">
        <f>ROUND(SUM(AH68:AX68),5)</f>
        <v>0</v>
      </c>
      <c r="AZ68" s="88">
        <v>1600</v>
      </c>
      <c r="BA68" s="88">
        <v>1600</v>
      </c>
      <c r="BB68" s="89"/>
    </row>
    <row r="69" spans="1:54" ht="15" thickBot="1" x14ac:dyDescent="0.35">
      <c r="A69" s="50"/>
      <c r="B69" s="50"/>
      <c r="C69" s="50"/>
      <c r="D69" s="50"/>
      <c r="E69" s="50"/>
      <c r="F69" s="50"/>
      <c r="G69" s="50" t="s">
        <v>126</v>
      </c>
      <c r="H69" s="51">
        <v>0.75</v>
      </c>
      <c r="I69" s="51">
        <v>22.5</v>
      </c>
      <c r="J69" s="51">
        <v>22.5</v>
      </c>
      <c r="K69" s="51">
        <v>22.5</v>
      </c>
      <c r="L69" s="51">
        <v>25.85</v>
      </c>
      <c r="M69" s="51">
        <v>94.84</v>
      </c>
      <c r="N69" s="51">
        <v>477</v>
      </c>
      <c r="O69" s="51">
        <v>266.7</v>
      </c>
      <c r="P69" s="51">
        <v>140.5</v>
      </c>
      <c r="Q69" s="51">
        <v>23.32</v>
      </c>
      <c r="R69" s="51">
        <v>22.5</v>
      </c>
      <c r="S69" s="51">
        <v>44.25</v>
      </c>
      <c r="T69" s="51"/>
      <c r="U69" s="51">
        <f>ROUND(SUM(H69:T69),5)</f>
        <v>1163.21</v>
      </c>
      <c r="V69" s="67">
        <v>2000</v>
      </c>
      <c r="W69" s="67">
        <v>2000</v>
      </c>
      <c r="AB69" s="86"/>
      <c r="AC69" s="86"/>
      <c r="AD69" s="86"/>
      <c r="AE69" s="86"/>
      <c r="AF69" s="86"/>
      <c r="AG69" s="86" t="s">
        <v>126</v>
      </c>
      <c r="AH69" s="87"/>
      <c r="AI69" s="87"/>
      <c r="AJ69" s="87"/>
      <c r="AK69" s="87"/>
      <c r="AL69" s="87">
        <v>3.07</v>
      </c>
      <c r="AM69" s="87">
        <v>24</v>
      </c>
      <c r="AN69" s="87">
        <v>24</v>
      </c>
      <c r="AO69" s="87">
        <v>48</v>
      </c>
      <c r="AP69" s="87">
        <v>0</v>
      </c>
      <c r="AQ69" s="87">
        <v>24</v>
      </c>
      <c r="AR69" s="87">
        <v>426.54</v>
      </c>
      <c r="AS69" s="87">
        <v>254.93</v>
      </c>
      <c r="AT69" s="87">
        <v>153.99</v>
      </c>
      <c r="AU69" s="87">
        <v>94.54</v>
      </c>
      <c r="AV69" s="87">
        <v>0</v>
      </c>
      <c r="AW69" s="87">
        <v>44.93</v>
      </c>
      <c r="AX69" s="87"/>
      <c r="AY69" s="88">
        <f>ROUND(SUM(AH69:AX69),5)</f>
        <v>1098</v>
      </c>
      <c r="AZ69" s="88">
        <v>2000</v>
      </c>
      <c r="BA69" s="88">
        <v>2000</v>
      </c>
      <c r="BB69" s="89"/>
    </row>
    <row r="70" spans="1:54" ht="15" thickBot="1" x14ac:dyDescent="0.35">
      <c r="A70" s="50"/>
      <c r="B70" s="50"/>
      <c r="C70" s="50"/>
      <c r="D70" s="50"/>
      <c r="E70" s="50"/>
      <c r="F70" s="50" t="s">
        <v>127</v>
      </c>
      <c r="G70" s="50"/>
      <c r="H70" s="53">
        <f t="shared" ref="H70:S70" si="28">ROUND(SUM(H66:H69),5)</f>
        <v>920.91</v>
      </c>
      <c r="I70" s="53">
        <f t="shared" si="28"/>
        <v>2271.8000000000002</v>
      </c>
      <c r="J70" s="53">
        <f t="shared" si="28"/>
        <v>942.66</v>
      </c>
      <c r="K70" s="53">
        <f t="shared" si="28"/>
        <v>942.66</v>
      </c>
      <c r="L70" s="53">
        <f t="shared" si="28"/>
        <v>946.01</v>
      </c>
      <c r="M70" s="53">
        <f t="shared" si="28"/>
        <v>1015</v>
      </c>
      <c r="N70" s="53">
        <f t="shared" si="28"/>
        <v>1397.16</v>
      </c>
      <c r="O70" s="53">
        <f t="shared" si="28"/>
        <v>1186.8599999999999</v>
      </c>
      <c r="P70" s="53">
        <f t="shared" si="28"/>
        <v>1060.6600000000001</v>
      </c>
      <c r="Q70" s="53">
        <f t="shared" si="28"/>
        <v>943.48</v>
      </c>
      <c r="R70" s="53">
        <f t="shared" si="28"/>
        <v>942.66</v>
      </c>
      <c r="S70" s="53">
        <f t="shared" si="28"/>
        <v>1086.5999999999999</v>
      </c>
      <c r="T70" s="53"/>
      <c r="U70" s="53">
        <f>ROUND(SUM(H70:T70),5)</f>
        <v>13656.46</v>
      </c>
      <c r="V70" s="53">
        <f>ROUND(SUM(V66:V69),5)</f>
        <v>25600</v>
      </c>
      <c r="W70" s="53">
        <f>ROUND(SUM(W66:W69),5)</f>
        <v>25500</v>
      </c>
      <c r="AB70" s="86"/>
      <c r="AC70" s="86"/>
      <c r="AD70" s="86"/>
      <c r="AE70" s="86" t="s">
        <v>128</v>
      </c>
      <c r="AF70" s="86" t="s">
        <v>127</v>
      </c>
      <c r="AG70" s="86"/>
      <c r="AH70" s="93"/>
      <c r="AI70" s="93"/>
      <c r="AJ70" s="93"/>
      <c r="AK70" s="93"/>
      <c r="AL70" s="93">
        <f t="shared" ref="AL70:AW70" si="29">ROUND(SUM(AL66:AL69),5)</f>
        <v>1045.44</v>
      </c>
      <c r="AM70" s="93">
        <f t="shared" si="29"/>
        <v>1066.3699999999999</v>
      </c>
      <c r="AN70" s="93">
        <f t="shared" si="29"/>
        <v>3290.71</v>
      </c>
      <c r="AO70" s="93">
        <f t="shared" si="29"/>
        <v>1090.3699999999999</v>
      </c>
      <c r="AP70" s="93">
        <f t="shared" si="29"/>
        <v>1042.3699999999999</v>
      </c>
      <c r="AQ70" s="93">
        <f t="shared" si="29"/>
        <v>1066.3699999999999</v>
      </c>
      <c r="AR70" s="93">
        <f t="shared" si="29"/>
        <v>1468.91</v>
      </c>
      <c r="AS70" s="93">
        <f t="shared" si="29"/>
        <v>1297.3</v>
      </c>
      <c r="AT70" s="93">
        <f t="shared" si="29"/>
        <v>1196.3599999999999</v>
      </c>
      <c r="AU70" s="93">
        <f t="shared" si="29"/>
        <v>1136.9100000000001</v>
      </c>
      <c r="AV70" s="93">
        <f t="shared" si="29"/>
        <v>1590.57</v>
      </c>
      <c r="AW70" s="93">
        <f t="shared" si="29"/>
        <v>1635.44</v>
      </c>
      <c r="AX70" s="93"/>
      <c r="AY70" s="94">
        <f>ROUND(SUM(AH70:AX70),5)</f>
        <v>16927.12</v>
      </c>
      <c r="AZ70" s="94">
        <f>ROUND(SUM(AZ66:AZ69),5)</f>
        <v>20600</v>
      </c>
      <c r="BA70" s="94">
        <f>ROUND(SUM(BA66:BA69),5)</f>
        <v>25600</v>
      </c>
      <c r="BB70" s="95"/>
    </row>
    <row r="71" spans="1:54" x14ac:dyDescent="0.3">
      <c r="A71" s="50"/>
      <c r="B71" s="50"/>
      <c r="C71" s="50"/>
      <c r="D71" s="50"/>
      <c r="E71" s="50" t="s">
        <v>128</v>
      </c>
      <c r="F71" s="50"/>
      <c r="G71" s="50"/>
      <c r="H71" s="51">
        <f t="shared" ref="H71:S71" si="30">ROUND(H41+H47+H52+H56+H60+H65+H70,5)</f>
        <v>20427.5</v>
      </c>
      <c r="I71" s="51">
        <f t="shared" si="30"/>
        <v>27733.33</v>
      </c>
      <c r="J71" s="51">
        <f t="shared" si="30"/>
        <v>23514.880000000001</v>
      </c>
      <c r="K71" s="51">
        <f t="shared" si="30"/>
        <v>33234.839999999997</v>
      </c>
      <c r="L71" s="51">
        <f t="shared" si="30"/>
        <v>23848.2</v>
      </c>
      <c r="M71" s="51">
        <f t="shared" si="30"/>
        <v>31970.85</v>
      </c>
      <c r="N71" s="51">
        <f t="shared" si="30"/>
        <v>45059.15</v>
      </c>
      <c r="O71" s="51">
        <f t="shared" si="30"/>
        <v>25780.14</v>
      </c>
      <c r="P71" s="51">
        <f t="shared" si="30"/>
        <v>26176.5</v>
      </c>
      <c r="Q71" s="51">
        <f t="shared" si="30"/>
        <v>36375.4</v>
      </c>
      <c r="R71" s="51">
        <f t="shared" si="30"/>
        <v>25977.439999999999</v>
      </c>
      <c r="S71" s="51">
        <f t="shared" si="30"/>
        <v>30418.91</v>
      </c>
      <c r="T71" s="51"/>
      <c r="U71" s="51">
        <f>ROUND(SUM(H71:T71),5)</f>
        <v>350517.14</v>
      </c>
      <c r="V71" s="51">
        <f>ROUND(V41+V47+V52+V56+V60+V65+V70,5)</f>
        <v>470191</v>
      </c>
      <c r="W71" s="51">
        <f>ROUND(W41+W47+W52+W56+W60+W65+W70,5)</f>
        <v>455450</v>
      </c>
      <c r="AB71" s="86"/>
      <c r="AC71" s="86"/>
      <c r="AD71" s="86"/>
      <c r="AE71" s="86" t="s">
        <v>129</v>
      </c>
      <c r="AF71" s="86"/>
      <c r="AG71" s="86"/>
      <c r="AH71" s="87"/>
      <c r="AI71" s="87"/>
      <c r="AJ71" s="87"/>
      <c r="AK71" s="87"/>
      <c r="AL71" s="87">
        <f t="shared" ref="AL71:AW71" si="31">ROUND(AL41+AL50+AL56+AL60+AL65+AL70,5)</f>
        <v>16390.41</v>
      </c>
      <c r="AM71" s="87">
        <f t="shared" si="31"/>
        <v>24775.15</v>
      </c>
      <c r="AN71" s="87">
        <f t="shared" si="31"/>
        <v>22713.78</v>
      </c>
      <c r="AO71" s="87">
        <f t="shared" si="31"/>
        <v>37089.300000000003</v>
      </c>
      <c r="AP71" s="87">
        <f t="shared" si="31"/>
        <v>21281.85</v>
      </c>
      <c r="AQ71" s="87">
        <f t="shared" si="31"/>
        <v>25723.74</v>
      </c>
      <c r="AR71" s="87">
        <f t="shared" si="31"/>
        <v>32956.370000000003</v>
      </c>
      <c r="AS71" s="87">
        <f t="shared" si="31"/>
        <v>23897.8</v>
      </c>
      <c r="AT71" s="87">
        <f t="shared" si="31"/>
        <v>26043.08</v>
      </c>
      <c r="AU71" s="87">
        <f t="shared" si="31"/>
        <v>41853.379999999997</v>
      </c>
      <c r="AV71" s="87">
        <f t="shared" si="31"/>
        <v>37546.199999999997</v>
      </c>
      <c r="AW71" s="87">
        <f t="shared" si="31"/>
        <v>35336.639999999999</v>
      </c>
      <c r="AX71" s="87"/>
      <c r="AY71" s="88">
        <f>ROUND(SUM(AH71:AX71),5)</f>
        <v>345607.7</v>
      </c>
      <c r="AZ71" s="88">
        <f>ROUND(AZ41+AZ50+AZ56+AZ60+AZ65+AZ70,5)</f>
        <v>413380</v>
      </c>
      <c r="BA71" s="88">
        <f>ROUND(BA41+BA50+BA56+BA60+BA65+BA70,5)</f>
        <v>470191</v>
      </c>
      <c r="BB71" s="89"/>
    </row>
    <row r="72" spans="1:54" x14ac:dyDescent="0.3">
      <c r="A72" s="50"/>
      <c r="B72" s="50"/>
      <c r="C72" s="50"/>
      <c r="D72" s="50"/>
      <c r="E72" s="50" t="s">
        <v>129</v>
      </c>
      <c r="F72" s="50"/>
      <c r="G72" s="50"/>
      <c r="H72" s="51"/>
      <c r="I72" s="51"/>
      <c r="J72" s="51"/>
      <c r="K72" s="51"/>
      <c r="L72" s="51"/>
      <c r="M72" s="51"/>
      <c r="N72" s="51"/>
      <c r="O72" s="51"/>
      <c r="P72" s="51"/>
      <c r="Q72" s="51"/>
      <c r="R72" s="51"/>
      <c r="S72" s="51"/>
      <c r="T72" s="51"/>
      <c r="U72" s="51"/>
      <c r="V72" s="51"/>
      <c r="W72" s="51"/>
      <c r="AB72" s="86"/>
      <c r="AC72" s="86"/>
      <c r="AD72" s="86"/>
      <c r="AE72" s="86"/>
      <c r="AF72" s="86"/>
      <c r="AG72" s="86"/>
      <c r="AH72" s="87"/>
      <c r="AI72" s="87"/>
      <c r="AJ72" s="87"/>
      <c r="AK72" s="87"/>
      <c r="AL72" s="87"/>
      <c r="AM72" s="87"/>
      <c r="AN72" s="87"/>
      <c r="AO72" s="87"/>
      <c r="AP72" s="87"/>
      <c r="AQ72" s="87"/>
      <c r="AR72" s="87"/>
      <c r="AS72" s="87"/>
      <c r="AT72" s="87"/>
      <c r="AU72" s="87"/>
      <c r="AV72" s="87"/>
      <c r="AW72" s="87"/>
      <c r="AX72" s="87"/>
      <c r="AY72" s="88"/>
      <c r="AZ72" s="88"/>
      <c r="BA72" s="88"/>
      <c r="BB72" s="89"/>
    </row>
    <row r="73" spans="1:54" x14ac:dyDescent="0.3">
      <c r="A73" s="50"/>
      <c r="B73" s="50"/>
      <c r="C73" s="50"/>
      <c r="D73" s="50"/>
      <c r="E73" s="50"/>
      <c r="F73" s="50" t="s">
        <v>130</v>
      </c>
      <c r="G73" s="50"/>
      <c r="H73" s="51"/>
      <c r="I73" s="51"/>
      <c r="J73" s="51"/>
      <c r="K73" s="51"/>
      <c r="L73" s="51"/>
      <c r="M73" s="51"/>
      <c r="N73" s="51"/>
      <c r="O73" s="51"/>
      <c r="P73" s="51"/>
      <c r="Q73" s="51"/>
      <c r="R73" s="51"/>
      <c r="S73" s="51"/>
      <c r="T73" s="51"/>
      <c r="U73" s="51"/>
      <c r="V73" s="51"/>
      <c r="W73" s="51"/>
      <c r="AB73" s="86"/>
      <c r="AC73" s="86"/>
      <c r="AD73" s="86"/>
      <c r="AE73" s="86"/>
      <c r="AF73" s="86" t="s">
        <v>130</v>
      </c>
      <c r="AG73" s="86"/>
      <c r="AH73" s="87"/>
      <c r="AI73" s="87"/>
      <c r="AJ73" s="87"/>
      <c r="AK73" s="87"/>
      <c r="AL73" s="87"/>
      <c r="AM73" s="87"/>
      <c r="AN73" s="87"/>
      <c r="AO73" s="87"/>
      <c r="AP73" s="87"/>
      <c r="AQ73" s="87"/>
      <c r="AR73" s="87"/>
      <c r="AS73" s="87"/>
      <c r="AT73" s="87"/>
      <c r="AU73" s="87"/>
      <c r="AV73" s="87"/>
      <c r="AW73" s="87"/>
      <c r="AX73" s="87"/>
      <c r="AY73" s="88"/>
      <c r="AZ73" s="88"/>
      <c r="BA73" s="88"/>
      <c r="BB73" s="89"/>
    </row>
    <row r="74" spans="1:54" x14ac:dyDescent="0.3">
      <c r="A74" s="50"/>
      <c r="B74" s="50"/>
      <c r="C74" s="50"/>
      <c r="D74" s="50"/>
      <c r="E74" s="50"/>
      <c r="F74" s="50"/>
      <c r="G74" s="50" t="s">
        <v>131</v>
      </c>
      <c r="H74" s="51">
        <v>336.79</v>
      </c>
      <c r="I74" s="51">
        <v>343.57</v>
      </c>
      <c r="J74" s="51">
        <v>340.18</v>
      </c>
      <c r="K74" s="51">
        <v>340.18</v>
      </c>
      <c r="L74" s="51">
        <v>471.16</v>
      </c>
      <c r="M74" s="51">
        <v>340.18</v>
      </c>
      <c r="N74" s="51">
        <v>340.18</v>
      </c>
      <c r="O74" s="51">
        <v>340.18</v>
      </c>
      <c r="P74" s="51">
        <v>340.18</v>
      </c>
      <c r="Q74" s="51">
        <v>340.18</v>
      </c>
      <c r="R74" s="51">
        <v>340.18</v>
      </c>
      <c r="S74" s="51">
        <v>336.79</v>
      </c>
      <c r="T74" s="51"/>
      <c r="U74" s="51">
        <f>ROUND(SUM(H74:T74),5)</f>
        <v>4209.75</v>
      </c>
      <c r="V74" s="67">
        <v>4100</v>
      </c>
      <c r="W74" s="67">
        <v>4400</v>
      </c>
      <c r="AB74" s="86"/>
      <c r="AC74" s="86"/>
      <c r="AD74" s="86"/>
      <c r="AE74" s="86"/>
      <c r="AF74" s="86"/>
      <c r="AG74" s="86" t="s">
        <v>131</v>
      </c>
      <c r="AH74" s="87"/>
      <c r="AI74" s="87"/>
      <c r="AJ74" s="87"/>
      <c r="AK74" s="87"/>
      <c r="AL74" s="87">
        <v>265.27999999999997</v>
      </c>
      <c r="AM74" s="87">
        <v>329.08</v>
      </c>
      <c r="AN74" s="87">
        <v>297.18</v>
      </c>
      <c r="AO74" s="87">
        <v>297.18</v>
      </c>
      <c r="AP74" s="87">
        <v>297.18</v>
      </c>
      <c r="AQ74" s="87">
        <v>342.55</v>
      </c>
      <c r="AR74" s="87">
        <v>336.79</v>
      </c>
      <c r="AS74" s="87">
        <v>336.79</v>
      </c>
      <c r="AT74" s="87">
        <v>336.79</v>
      </c>
      <c r="AU74" s="87">
        <v>336.79</v>
      </c>
      <c r="AV74" s="87">
        <v>265.27999999999997</v>
      </c>
      <c r="AW74" s="87">
        <v>265.27999999999997</v>
      </c>
      <c r="AX74" s="87"/>
      <c r="AY74" s="88">
        <f>ROUND(SUM(AH74:AX74),5)</f>
        <v>3706.17</v>
      </c>
      <c r="AZ74" s="88">
        <v>3300</v>
      </c>
      <c r="BA74" s="88">
        <v>4100</v>
      </c>
      <c r="BB74" s="89" t="s">
        <v>250</v>
      </c>
    </row>
    <row r="75" spans="1:54" ht="15" thickBot="1" x14ac:dyDescent="0.35">
      <c r="A75" s="50"/>
      <c r="B75" s="50"/>
      <c r="C75" s="50"/>
      <c r="D75" s="50"/>
      <c r="E75" s="50"/>
      <c r="F75" s="50"/>
      <c r="G75" s="50" t="s">
        <v>132</v>
      </c>
      <c r="H75" s="52">
        <v>0</v>
      </c>
      <c r="I75" s="52">
        <v>613.13</v>
      </c>
      <c r="J75" s="52">
        <v>621.05999999999995</v>
      </c>
      <c r="K75" s="52">
        <v>649.05999999999995</v>
      </c>
      <c r="L75" s="52">
        <v>447.52</v>
      </c>
      <c r="M75" s="52">
        <v>449.1</v>
      </c>
      <c r="N75" s="52">
        <v>352.72</v>
      </c>
      <c r="O75" s="52">
        <v>368.99</v>
      </c>
      <c r="P75" s="52">
        <v>439.86</v>
      </c>
      <c r="Q75" s="52">
        <v>437.05</v>
      </c>
      <c r="R75" s="52">
        <v>528.09</v>
      </c>
      <c r="S75" s="52">
        <v>1125.5899999999999</v>
      </c>
      <c r="T75" s="52"/>
      <c r="U75" s="52">
        <f>ROUND(SUM(H75:T75),5)</f>
        <v>6032.17</v>
      </c>
      <c r="V75" s="69">
        <v>5500</v>
      </c>
      <c r="W75" s="69">
        <v>6000</v>
      </c>
      <c r="AB75" s="86"/>
      <c r="AC75" s="86"/>
      <c r="AD75" s="86"/>
      <c r="AE75" s="86"/>
      <c r="AF75" s="86"/>
      <c r="AG75" s="86" t="s">
        <v>132</v>
      </c>
      <c r="AH75" s="90"/>
      <c r="AI75" s="90"/>
      <c r="AJ75" s="90"/>
      <c r="AK75" s="90"/>
      <c r="AL75" s="90">
        <v>0</v>
      </c>
      <c r="AM75" s="90">
        <v>563.13</v>
      </c>
      <c r="AN75" s="90">
        <v>558</v>
      </c>
      <c r="AO75" s="90">
        <v>564.51</v>
      </c>
      <c r="AP75" s="90">
        <v>381.22</v>
      </c>
      <c r="AQ75" s="90">
        <v>394.29</v>
      </c>
      <c r="AR75" s="90">
        <v>348.74</v>
      </c>
      <c r="AS75" s="90">
        <v>330.04</v>
      </c>
      <c r="AT75" s="90">
        <v>387.21</v>
      </c>
      <c r="AU75" s="90">
        <v>320.44</v>
      </c>
      <c r="AV75" s="90">
        <v>350.52</v>
      </c>
      <c r="AW75" s="90">
        <v>939.43</v>
      </c>
      <c r="AX75" s="90"/>
      <c r="AY75" s="91">
        <f>ROUND(SUM(AH75:AX75),5)</f>
        <v>5137.53</v>
      </c>
      <c r="AZ75" s="91">
        <v>5000</v>
      </c>
      <c r="BA75" s="91">
        <v>5500</v>
      </c>
      <c r="BB75" s="92"/>
    </row>
    <row r="76" spans="1:54" x14ac:dyDescent="0.3">
      <c r="A76" s="50"/>
      <c r="B76" s="50"/>
      <c r="C76" s="50"/>
      <c r="D76" s="50"/>
      <c r="E76" s="50"/>
      <c r="F76" s="50" t="s">
        <v>133</v>
      </c>
      <c r="G76" s="50"/>
      <c r="H76" s="51">
        <f t="shared" ref="H76:P76" si="32">ROUND(SUM(H73:H75),5)</f>
        <v>336.79</v>
      </c>
      <c r="I76" s="51">
        <f t="shared" si="32"/>
        <v>956.7</v>
      </c>
      <c r="J76" s="51">
        <f t="shared" si="32"/>
        <v>961.24</v>
      </c>
      <c r="K76" s="51">
        <f t="shared" si="32"/>
        <v>989.24</v>
      </c>
      <c r="L76" s="51">
        <f t="shared" si="32"/>
        <v>918.68</v>
      </c>
      <c r="M76" s="51">
        <f t="shared" si="32"/>
        <v>789.28</v>
      </c>
      <c r="N76" s="51">
        <f t="shared" si="32"/>
        <v>692.9</v>
      </c>
      <c r="O76" s="51">
        <f t="shared" si="32"/>
        <v>709.17</v>
      </c>
      <c r="P76" s="51">
        <f t="shared" si="32"/>
        <v>780.04</v>
      </c>
      <c r="Q76" s="51">
        <f>ROUND(SUM(Q73:Q75),5)</f>
        <v>777.23</v>
      </c>
      <c r="R76" s="51">
        <f>ROUND(SUM(R73:R75),5)</f>
        <v>868.27</v>
      </c>
      <c r="S76" s="51">
        <f>ROUND(SUM(S73:S75),5)</f>
        <v>1462.38</v>
      </c>
      <c r="T76" s="51"/>
      <c r="U76" s="51">
        <f>ROUND(SUM(H76:T76),5)</f>
        <v>10241.92</v>
      </c>
      <c r="V76" s="51">
        <f>ROUND(SUM(V73:V75),5)</f>
        <v>9600</v>
      </c>
      <c r="W76" s="51">
        <f>ROUND(SUM(W73:W75),5)</f>
        <v>10400</v>
      </c>
      <c r="AB76" s="86"/>
      <c r="AC76" s="86"/>
      <c r="AD76" s="86"/>
      <c r="AE76" s="86"/>
      <c r="AF76" s="86" t="s">
        <v>133</v>
      </c>
      <c r="AG76" s="86"/>
      <c r="AH76" s="87"/>
      <c r="AI76" s="87"/>
      <c r="AJ76" s="87"/>
      <c r="AK76" s="87"/>
      <c r="AL76" s="87">
        <f t="shared" ref="AL76:AW76" si="33">ROUND(SUM(AL73:AL75),5)</f>
        <v>265.27999999999997</v>
      </c>
      <c r="AM76" s="87">
        <f t="shared" si="33"/>
        <v>892.21</v>
      </c>
      <c r="AN76" s="87">
        <f t="shared" si="33"/>
        <v>855.18</v>
      </c>
      <c r="AO76" s="87">
        <f t="shared" si="33"/>
        <v>861.69</v>
      </c>
      <c r="AP76" s="87">
        <f t="shared" si="33"/>
        <v>678.4</v>
      </c>
      <c r="AQ76" s="87">
        <f t="shared" si="33"/>
        <v>736.84</v>
      </c>
      <c r="AR76" s="87">
        <f t="shared" si="33"/>
        <v>685.53</v>
      </c>
      <c r="AS76" s="87">
        <f t="shared" si="33"/>
        <v>666.83</v>
      </c>
      <c r="AT76" s="87">
        <f t="shared" si="33"/>
        <v>724</v>
      </c>
      <c r="AU76" s="87">
        <f t="shared" si="33"/>
        <v>657.23</v>
      </c>
      <c r="AV76" s="87">
        <f t="shared" si="33"/>
        <v>615.79999999999995</v>
      </c>
      <c r="AW76" s="87">
        <f t="shared" si="33"/>
        <v>1204.71</v>
      </c>
      <c r="AX76" s="87"/>
      <c r="AY76" s="88">
        <f>ROUND(SUM(AH76:AX76),5)</f>
        <v>8843.7000000000007</v>
      </c>
      <c r="AZ76" s="88">
        <f>ROUND(SUM(AZ73:AZ75),5)</f>
        <v>8300</v>
      </c>
      <c r="BA76" s="88">
        <f>ROUND(SUM(BA73:BA75),5)</f>
        <v>9600</v>
      </c>
      <c r="BB76" s="89"/>
    </row>
    <row r="77" spans="1:54" x14ac:dyDescent="0.3">
      <c r="A77" s="50"/>
      <c r="B77" s="50"/>
      <c r="C77" s="50"/>
      <c r="D77" s="50"/>
      <c r="E77" s="50"/>
      <c r="F77" s="50"/>
      <c r="G77" s="50"/>
      <c r="H77" s="51"/>
      <c r="I77" s="51"/>
      <c r="J77" s="51"/>
      <c r="K77" s="51"/>
      <c r="L77" s="51"/>
      <c r="M77" s="51"/>
      <c r="N77" s="51"/>
      <c r="O77" s="51"/>
      <c r="P77" s="51"/>
      <c r="Q77" s="51"/>
      <c r="R77" s="51"/>
      <c r="S77" s="51"/>
      <c r="T77" s="51"/>
      <c r="U77" s="51"/>
      <c r="V77" s="51"/>
      <c r="W77" s="51"/>
      <c r="AB77" s="86"/>
      <c r="AC77" s="86"/>
      <c r="AD77" s="86"/>
      <c r="AE77" s="86"/>
      <c r="AF77" s="86"/>
      <c r="AG77" s="86"/>
      <c r="AH77" s="87"/>
      <c r="AI77" s="87"/>
      <c r="AJ77" s="87"/>
      <c r="AK77" s="87"/>
      <c r="AL77" s="87"/>
      <c r="AM77" s="87"/>
      <c r="AN77" s="87"/>
      <c r="AO77" s="87"/>
      <c r="AP77" s="87"/>
      <c r="AQ77" s="87"/>
      <c r="AR77" s="87"/>
      <c r="AS77" s="87"/>
      <c r="AT77" s="87"/>
      <c r="AU77" s="87"/>
      <c r="AV77" s="87"/>
      <c r="AW77" s="87"/>
      <c r="AX77" s="87"/>
      <c r="AY77" s="88"/>
      <c r="AZ77" s="88"/>
      <c r="BA77" s="88"/>
      <c r="BB77" s="89"/>
    </row>
    <row r="78" spans="1:54" x14ac:dyDescent="0.3">
      <c r="A78" s="50"/>
      <c r="B78" s="50"/>
      <c r="C78" s="50"/>
      <c r="D78" s="50"/>
      <c r="E78" s="50"/>
      <c r="F78" s="50"/>
      <c r="G78" s="50"/>
      <c r="H78" s="51"/>
      <c r="I78" s="51"/>
      <c r="J78" s="51"/>
      <c r="K78" s="51"/>
      <c r="L78" s="51"/>
      <c r="M78" s="51"/>
      <c r="N78" s="51"/>
      <c r="O78" s="51"/>
      <c r="P78" s="51"/>
      <c r="Q78" s="51"/>
      <c r="R78" s="51"/>
      <c r="S78" s="51"/>
      <c r="T78" s="51"/>
      <c r="U78" s="51"/>
      <c r="V78" s="51"/>
      <c r="W78" s="51"/>
      <c r="AB78" s="86"/>
      <c r="AC78" s="86"/>
      <c r="AD78" s="86"/>
      <c r="AE78" s="86"/>
      <c r="AF78" s="86"/>
      <c r="AG78" s="86"/>
      <c r="AH78" s="87"/>
      <c r="AI78" s="87"/>
      <c r="AJ78" s="87"/>
      <c r="AK78" s="87"/>
      <c r="AL78" s="87"/>
      <c r="AM78" s="87"/>
      <c r="AN78" s="87"/>
      <c r="AO78" s="87"/>
      <c r="AP78" s="87"/>
      <c r="AQ78" s="87"/>
      <c r="AR78" s="87"/>
      <c r="AS78" s="87"/>
      <c r="AT78" s="87"/>
      <c r="AU78" s="87"/>
      <c r="AV78" s="87"/>
      <c r="AW78" s="87"/>
      <c r="AX78" s="87"/>
      <c r="AY78" s="88"/>
      <c r="AZ78" s="88"/>
      <c r="BA78" s="88"/>
      <c r="BB78" s="89"/>
    </row>
    <row r="79" spans="1:54" x14ac:dyDescent="0.3">
      <c r="A79" s="50"/>
      <c r="B79" s="50"/>
      <c r="C79" s="50"/>
      <c r="D79" s="50"/>
      <c r="E79" s="50"/>
      <c r="F79" s="50"/>
      <c r="G79" s="50"/>
      <c r="H79" s="51"/>
      <c r="I79" s="51"/>
      <c r="J79" s="51"/>
      <c r="K79" s="51"/>
      <c r="L79" s="51"/>
      <c r="M79" s="51"/>
      <c r="N79" s="51"/>
      <c r="O79" s="51"/>
      <c r="P79" s="51"/>
      <c r="Q79" s="51"/>
      <c r="R79" s="51"/>
      <c r="S79" s="51"/>
      <c r="T79" s="51"/>
      <c r="U79" s="51"/>
      <c r="V79" s="51"/>
      <c r="W79" s="51"/>
      <c r="AB79" s="86"/>
      <c r="AC79" s="86"/>
      <c r="AD79" s="86"/>
      <c r="AE79" s="86"/>
      <c r="AF79" s="86"/>
      <c r="AG79" s="86"/>
      <c r="AH79" s="87"/>
      <c r="AI79" s="87"/>
      <c r="AJ79" s="87"/>
      <c r="AK79" s="87"/>
      <c r="AL79" s="87"/>
      <c r="AM79" s="87"/>
      <c r="AN79" s="87"/>
      <c r="AO79" s="87"/>
      <c r="AP79" s="87"/>
      <c r="AQ79" s="87"/>
      <c r="AR79" s="87"/>
      <c r="AS79" s="87"/>
      <c r="AT79" s="87"/>
      <c r="AU79" s="87"/>
      <c r="AV79" s="87"/>
      <c r="AW79" s="87"/>
      <c r="AX79" s="87"/>
      <c r="AY79" s="88"/>
      <c r="AZ79" s="88"/>
      <c r="BA79" s="88"/>
      <c r="BB79" s="89"/>
    </row>
    <row r="80" spans="1:54" x14ac:dyDescent="0.3">
      <c r="A80" s="50"/>
      <c r="B80" s="50"/>
      <c r="C80" s="50"/>
      <c r="D80" s="50"/>
      <c r="E80" s="50"/>
      <c r="F80" s="50"/>
      <c r="G80" s="50"/>
      <c r="H80" s="51"/>
      <c r="I80" s="51"/>
      <c r="J80" s="51"/>
      <c r="K80" s="51"/>
      <c r="L80" s="51"/>
      <c r="M80" s="51"/>
      <c r="N80" s="51"/>
      <c r="O80" s="51"/>
      <c r="P80" s="51"/>
      <c r="Q80" s="51"/>
      <c r="R80" s="51"/>
      <c r="S80" s="51"/>
      <c r="T80" s="51"/>
      <c r="U80" s="51"/>
      <c r="V80" s="51"/>
      <c r="W80" s="51"/>
      <c r="AB80" s="86"/>
      <c r="AC80" s="86"/>
      <c r="AD80" s="86"/>
      <c r="AE80" s="86"/>
      <c r="AF80" s="86"/>
      <c r="AG80" s="86"/>
      <c r="AH80" s="87"/>
      <c r="AI80" s="87"/>
      <c r="AJ80" s="87"/>
      <c r="AK80" s="87"/>
      <c r="AL80" s="87"/>
      <c r="AM80" s="87"/>
      <c r="AN80" s="87"/>
      <c r="AO80" s="87"/>
      <c r="AP80" s="87"/>
      <c r="AQ80" s="87"/>
      <c r="AR80" s="87"/>
      <c r="AS80" s="87"/>
      <c r="AT80" s="87"/>
      <c r="AU80" s="87"/>
      <c r="AV80" s="87"/>
      <c r="AW80" s="87"/>
      <c r="AX80" s="87"/>
      <c r="AY80" s="88"/>
      <c r="AZ80" s="88"/>
      <c r="BA80" s="88"/>
      <c r="BB80" s="89"/>
    </row>
    <row r="81" spans="1:54" x14ac:dyDescent="0.3">
      <c r="A81" s="50"/>
      <c r="B81" s="50"/>
      <c r="C81" s="50"/>
      <c r="D81" s="50"/>
      <c r="E81" s="50"/>
      <c r="F81" s="50"/>
      <c r="G81" s="50"/>
      <c r="H81" s="51"/>
      <c r="I81" s="51"/>
      <c r="J81" s="51"/>
      <c r="K81" s="51"/>
      <c r="L81" s="51"/>
      <c r="M81" s="51"/>
      <c r="N81" s="51"/>
      <c r="O81" s="51"/>
      <c r="P81" s="51"/>
      <c r="Q81" s="51"/>
      <c r="R81" s="51"/>
      <c r="S81" s="51"/>
      <c r="T81" s="51"/>
      <c r="U81" s="51"/>
      <c r="V81" s="51"/>
      <c r="W81" s="51"/>
      <c r="AB81" s="86"/>
      <c r="AC81" s="86"/>
      <c r="AD81" s="86"/>
      <c r="AE81" s="86"/>
      <c r="AF81" s="86"/>
      <c r="AG81" s="86"/>
      <c r="AH81" s="87"/>
      <c r="AI81" s="87"/>
      <c r="AJ81" s="87"/>
      <c r="AK81" s="87"/>
      <c r="AL81" s="87"/>
      <c r="AM81" s="87"/>
      <c r="AN81" s="87"/>
      <c r="AO81" s="87"/>
      <c r="AP81" s="87"/>
      <c r="AQ81" s="87"/>
      <c r="AR81" s="87"/>
      <c r="AS81" s="87"/>
      <c r="AT81" s="87"/>
      <c r="AU81" s="87"/>
      <c r="AV81" s="87"/>
      <c r="AW81" s="87"/>
      <c r="AX81" s="87"/>
      <c r="AY81" s="88"/>
      <c r="AZ81" s="88"/>
      <c r="BA81" s="88"/>
      <c r="BB81" s="89"/>
    </row>
    <row r="82" spans="1:54" x14ac:dyDescent="0.3">
      <c r="A82" s="50"/>
      <c r="B82" s="50"/>
      <c r="C82" s="50"/>
      <c r="D82" s="50"/>
      <c r="E82" s="50"/>
      <c r="F82" s="50"/>
      <c r="G82" s="50"/>
      <c r="H82" s="51"/>
      <c r="I82" s="51"/>
      <c r="J82" s="51"/>
      <c r="K82" s="51"/>
      <c r="L82" s="51"/>
      <c r="M82" s="51"/>
      <c r="N82" s="51"/>
      <c r="O82" s="51"/>
      <c r="P82" s="51"/>
      <c r="Q82" s="51"/>
      <c r="R82" s="51"/>
      <c r="S82" s="51"/>
      <c r="T82" s="51"/>
      <c r="U82" s="51"/>
      <c r="V82" s="51"/>
      <c r="W82" s="51"/>
      <c r="AB82" s="86"/>
      <c r="AC82" s="86"/>
      <c r="AD82" s="86"/>
      <c r="AE82" s="86"/>
      <c r="AF82" s="86"/>
      <c r="AG82" s="86"/>
      <c r="AH82" s="87"/>
      <c r="AI82" s="87"/>
      <c r="AJ82" s="87"/>
      <c r="AK82" s="87"/>
      <c r="AL82" s="87"/>
      <c r="AM82" s="87"/>
      <c r="AN82" s="87"/>
      <c r="AO82" s="87"/>
      <c r="AP82" s="87"/>
      <c r="AQ82" s="87"/>
      <c r="AR82" s="87"/>
      <c r="AS82" s="87"/>
      <c r="AT82" s="87"/>
      <c r="AU82" s="87"/>
      <c r="AV82" s="87"/>
      <c r="AW82" s="87"/>
      <c r="AX82" s="87"/>
      <c r="AY82" s="88"/>
      <c r="AZ82" s="88"/>
      <c r="BA82" s="88"/>
      <c r="BB82" s="89"/>
    </row>
    <row r="83" spans="1:54" x14ac:dyDescent="0.3">
      <c r="A83" s="50"/>
      <c r="B83" s="50"/>
      <c r="C83" s="50"/>
      <c r="D83" s="50"/>
      <c r="E83" s="50"/>
      <c r="F83" s="50"/>
      <c r="G83" s="50"/>
      <c r="H83" s="51"/>
      <c r="I83" s="51"/>
      <c r="J83" s="51"/>
      <c r="K83" s="51"/>
      <c r="L83" s="51"/>
      <c r="M83" s="51"/>
      <c r="N83" s="51"/>
      <c r="O83" s="51"/>
      <c r="P83" s="51"/>
      <c r="Q83" s="51"/>
      <c r="R83" s="51"/>
      <c r="S83" s="51"/>
      <c r="T83" s="51"/>
      <c r="U83" s="51"/>
      <c r="V83" s="51"/>
      <c r="W83" s="51"/>
      <c r="AB83" s="86"/>
      <c r="AC83" s="86"/>
      <c r="AD83" s="86"/>
      <c r="AE83" s="86"/>
      <c r="AF83" s="86"/>
      <c r="AG83" s="86"/>
      <c r="AH83" s="87"/>
      <c r="AI83" s="87"/>
      <c r="AJ83" s="87"/>
      <c r="AK83" s="87"/>
      <c r="AL83" s="87"/>
      <c r="AM83" s="87"/>
      <c r="AN83" s="87"/>
      <c r="AO83" s="87"/>
      <c r="AP83" s="87"/>
      <c r="AQ83" s="87"/>
      <c r="AR83" s="87"/>
      <c r="AS83" s="87"/>
      <c r="AT83" s="87"/>
      <c r="AU83" s="87"/>
      <c r="AV83" s="87"/>
      <c r="AW83" s="87"/>
      <c r="AX83" s="87"/>
      <c r="AY83" s="88"/>
      <c r="AZ83" s="88"/>
      <c r="BA83" s="88"/>
      <c r="BB83" s="89"/>
    </row>
    <row r="84" spans="1:54" x14ac:dyDescent="0.3">
      <c r="A84" s="50"/>
      <c r="B84" s="50"/>
      <c r="C84" s="50"/>
      <c r="D84" s="50"/>
      <c r="E84" s="50"/>
      <c r="F84" s="50"/>
      <c r="G84" s="50"/>
      <c r="H84" s="51"/>
      <c r="I84" s="51"/>
      <c r="J84" s="51"/>
      <c r="K84" s="51"/>
      <c r="L84" s="51"/>
      <c r="M84" s="51"/>
      <c r="N84" s="51"/>
      <c r="O84" s="51"/>
      <c r="P84" s="51"/>
      <c r="Q84" s="51"/>
      <c r="R84" s="51"/>
      <c r="S84" s="51"/>
      <c r="T84" s="51"/>
      <c r="U84" s="51"/>
      <c r="V84" s="51"/>
      <c r="W84" s="51"/>
      <c r="AB84" s="86"/>
      <c r="AC84" s="86"/>
      <c r="AD84" s="86"/>
      <c r="AE84" s="86"/>
      <c r="AF84" s="86"/>
      <c r="AG84" s="86"/>
      <c r="AH84" s="87"/>
      <c r="AI84" s="87"/>
      <c r="AJ84" s="87"/>
      <c r="AK84" s="87"/>
      <c r="AL84" s="87"/>
      <c r="AM84" s="87"/>
      <c r="AN84" s="87"/>
      <c r="AO84" s="87"/>
      <c r="AP84" s="87"/>
      <c r="AQ84" s="87"/>
      <c r="AR84" s="87"/>
      <c r="AS84" s="87"/>
      <c r="AT84" s="87"/>
      <c r="AU84" s="87"/>
      <c r="AV84" s="87"/>
      <c r="AW84" s="87"/>
      <c r="AX84" s="87"/>
      <c r="AY84" s="88"/>
      <c r="AZ84" s="88"/>
      <c r="BA84" s="88"/>
      <c r="BB84" s="89"/>
    </row>
    <row r="85" spans="1:54" x14ac:dyDescent="0.3">
      <c r="A85" s="50"/>
      <c r="B85" s="50"/>
      <c r="C85" s="50"/>
      <c r="D85" s="50"/>
      <c r="E85" s="50"/>
      <c r="F85" s="50"/>
      <c r="G85" s="50"/>
      <c r="H85" s="51"/>
      <c r="I85" s="51"/>
      <c r="J85" s="51"/>
      <c r="K85" s="51"/>
      <c r="L85" s="51"/>
      <c r="M85" s="51"/>
      <c r="N85" s="51"/>
      <c r="O85" s="51"/>
      <c r="P85" s="51"/>
      <c r="Q85" s="51"/>
      <c r="R85" s="51"/>
      <c r="S85" s="51"/>
      <c r="T85" s="51"/>
      <c r="U85" s="51"/>
      <c r="V85" s="51"/>
      <c r="W85" s="51"/>
      <c r="AB85" s="86"/>
      <c r="AC85" s="86"/>
      <c r="AD85" s="86"/>
      <c r="AE85" s="86"/>
      <c r="AF85" s="86"/>
      <c r="AG85" s="86"/>
      <c r="AH85" s="87"/>
      <c r="AI85" s="87"/>
      <c r="AJ85" s="87"/>
      <c r="AK85" s="87"/>
      <c r="AL85" s="87"/>
      <c r="AM85" s="87"/>
      <c r="AN85" s="87"/>
      <c r="AO85" s="87"/>
      <c r="AP85" s="87"/>
      <c r="AQ85" s="87"/>
      <c r="AR85" s="87"/>
      <c r="AS85" s="87"/>
      <c r="AT85" s="87"/>
      <c r="AU85" s="87"/>
      <c r="AV85" s="87"/>
      <c r="AW85" s="87"/>
      <c r="AX85" s="87"/>
      <c r="AY85" s="88"/>
      <c r="AZ85" s="88"/>
      <c r="BA85" s="88"/>
      <c r="BB85" s="89"/>
    </row>
    <row r="86" spans="1:54" x14ac:dyDescent="0.3">
      <c r="A86" s="50"/>
      <c r="B86" s="50"/>
      <c r="C86" s="50"/>
      <c r="D86" s="50"/>
      <c r="E86" s="50"/>
      <c r="F86" s="50"/>
      <c r="G86" s="50"/>
      <c r="H86" s="51"/>
      <c r="I86" s="51"/>
      <c r="J86" s="51"/>
      <c r="K86" s="51"/>
      <c r="L86" s="51"/>
      <c r="M86" s="51"/>
      <c r="N86" s="51"/>
      <c r="O86" s="51"/>
      <c r="P86" s="51"/>
      <c r="Q86" s="51"/>
      <c r="R86" s="51"/>
      <c r="S86" s="51"/>
      <c r="T86" s="51"/>
      <c r="U86" s="51"/>
      <c r="V86" s="51"/>
      <c r="W86" s="51"/>
      <c r="AB86" s="86"/>
      <c r="AC86" s="86"/>
      <c r="AD86" s="86"/>
      <c r="AE86" s="86"/>
      <c r="AF86" s="86"/>
      <c r="AG86" s="86"/>
      <c r="AH86" s="87"/>
      <c r="AI86" s="87"/>
      <c r="AJ86" s="87"/>
      <c r="AK86" s="87"/>
      <c r="AL86" s="87"/>
      <c r="AM86" s="87"/>
      <c r="AN86" s="87"/>
      <c r="AO86" s="87"/>
      <c r="AP86" s="87"/>
      <c r="AQ86" s="87"/>
      <c r="AR86" s="87"/>
      <c r="AS86" s="87"/>
      <c r="AT86" s="87"/>
      <c r="AU86" s="87"/>
      <c r="AV86" s="87"/>
      <c r="AW86" s="87"/>
      <c r="AX86" s="87"/>
      <c r="AY86" s="88"/>
      <c r="AZ86" s="88"/>
      <c r="BA86" s="88"/>
      <c r="BB86" s="89"/>
    </row>
    <row r="87" spans="1:54" x14ac:dyDescent="0.3">
      <c r="A87" s="50"/>
      <c r="B87" s="50"/>
      <c r="C87" s="50"/>
      <c r="D87" s="50"/>
      <c r="E87" s="50"/>
      <c r="F87" s="50"/>
      <c r="G87" s="50"/>
      <c r="H87" s="51"/>
      <c r="I87" s="51"/>
      <c r="J87" s="51"/>
      <c r="K87" s="51"/>
      <c r="L87" s="51"/>
      <c r="M87" s="51"/>
      <c r="N87" s="51"/>
      <c r="O87" s="51"/>
      <c r="P87" s="51"/>
      <c r="Q87" s="51"/>
      <c r="R87" s="51"/>
      <c r="S87" s="51"/>
      <c r="T87" s="51"/>
      <c r="U87" s="51"/>
      <c r="V87" s="51"/>
      <c r="W87" s="51"/>
      <c r="AB87" s="86"/>
      <c r="AC87" s="86"/>
      <c r="AD87" s="86"/>
      <c r="AE87" s="86"/>
      <c r="AF87" s="86"/>
      <c r="AG87" s="86"/>
      <c r="AH87" s="87"/>
      <c r="AI87" s="87"/>
      <c r="AJ87" s="87"/>
      <c r="AK87" s="87"/>
      <c r="AL87" s="87"/>
      <c r="AM87" s="87"/>
      <c r="AN87" s="87"/>
      <c r="AO87" s="87"/>
      <c r="AP87" s="87"/>
      <c r="AQ87" s="87"/>
      <c r="AR87" s="87"/>
      <c r="AS87" s="87"/>
      <c r="AT87" s="87"/>
      <c r="AU87" s="87"/>
      <c r="AV87" s="87"/>
      <c r="AW87" s="87"/>
      <c r="AX87" s="87"/>
      <c r="AY87" s="88"/>
      <c r="AZ87" s="88"/>
      <c r="BA87" s="88"/>
      <c r="BB87" s="89"/>
    </row>
    <row r="88" spans="1:54" x14ac:dyDescent="0.3">
      <c r="A88" s="50"/>
      <c r="B88" s="50"/>
      <c r="C88" s="50"/>
      <c r="D88" s="50"/>
      <c r="E88" s="50"/>
      <c r="F88" s="50"/>
      <c r="G88" s="50"/>
      <c r="H88" s="51"/>
      <c r="I88" s="51"/>
      <c r="J88" s="51"/>
      <c r="K88" s="51"/>
      <c r="L88" s="51"/>
      <c r="M88" s="51"/>
      <c r="N88" s="51"/>
      <c r="O88" s="51"/>
      <c r="P88" s="51"/>
      <c r="Q88" s="51"/>
      <c r="R88" s="51"/>
      <c r="S88" s="51"/>
      <c r="T88" s="51"/>
      <c r="U88" s="51"/>
      <c r="V88" s="51"/>
      <c r="W88" s="51"/>
      <c r="AB88" s="86"/>
      <c r="AC88" s="86"/>
      <c r="AD88" s="86"/>
      <c r="AE88" s="86"/>
      <c r="AF88" s="86"/>
      <c r="AG88" s="86"/>
      <c r="AH88" s="87"/>
      <c r="AI88" s="87"/>
      <c r="AJ88" s="87"/>
      <c r="AK88" s="87"/>
      <c r="AL88" s="87"/>
      <c r="AM88" s="87"/>
      <c r="AN88" s="87"/>
      <c r="AO88" s="87"/>
      <c r="AP88" s="87"/>
      <c r="AQ88" s="87"/>
      <c r="AR88" s="87"/>
      <c r="AS88" s="87"/>
      <c r="AT88" s="87"/>
      <c r="AU88" s="87"/>
      <c r="AV88" s="87"/>
      <c r="AW88" s="87"/>
      <c r="AX88" s="87"/>
      <c r="AY88" s="88"/>
      <c r="AZ88" s="88"/>
      <c r="BA88" s="88"/>
      <c r="BB88" s="89"/>
    </row>
    <row r="89" spans="1:54" x14ac:dyDescent="0.3">
      <c r="A89" s="50"/>
      <c r="B89" s="50"/>
      <c r="C89" s="50"/>
      <c r="D89" s="50"/>
      <c r="E89" s="50"/>
      <c r="F89" s="50"/>
      <c r="G89" s="50"/>
      <c r="H89" s="51"/>
      <c r="I89" s="51"/>
      <c r="J89" s="51"/>
      <c r="K89" s="51"/>
      <c r="L89" s="51"/>
      <c r="M89" s="51"/>
      <c r="N89" s="51"/>
      <c r="O89" s="51"/>
      <c r="P89" s="51"/>
      <c r="Q89" s="51"/>
      <c r="R89" s="51"/>
      <c r="S89" s="51"/>
      <c r="T89" s="51"/>
      <c r="U89" s="51"/>
      <c r="V89" s="51"/>
      <c r="W89" s="51"/>
      <c r="AB89" s="86"/>
      <c r="AC89" s="86"/>
      <c r="AD89" s="86"/>
      <c r="AE89" s="86"/>
      <c r="AF89" s="86"/>
      <c r="AG89" s="86"/>
      <c r="AH89" s="87"/>
      <c r="AI89" s="87"/>
      <c r="AJ89" s="87"/>
      <c r="AK89" s="87"/>
      <c r="AL89" s="87"/>
      <c r="AM89" s="87"/>
      <c r="AN89" s="87"/>
      <c r="AO89" s="87"/>
      <c r="AP89" s="87"/>
      <c r="AQ89" s="87"/>
      <c r="AR89" s="87"/>
      <c r="AS89" s="87"/>
      <c r="AT89" s="87"/>
      <c r="AU89" s="87"/>
      <c r="AV89" s="87"/>
      <c r="AW89" s="87"/>
      <c r="AX89" s="87"/>
      <c r="AY89" s="88"/>
      <c r="AZ89" s="88"/>
      <c r="BA89" s="88"/>
      <c r="BB89" s="89"/>
    </row>
    <row r="90" spans="1:54" x14ac:dyDescent="0.3">
      <c r="A90" s="50"/>
      <c r="B90" s="50"/>
      <c r="C90" s="50"/>
      <c r="D90" s="50"/>
      <c r="E90" s="50"/>
      <c r="F90" s="50"/>
      <c r="G90" s="50"/>
      <c r="H90" s="51"/>
      <c r="I90" s="51"/>
      <c r="J90" s="51"/>
      <c r="K90" s="51"/>
      <c r="L90" s="51"/>
      <c r="M90" s="51"/>
      <c r="N90" s="51"/>
      <c r="O90" s="51"/>
      <c r="P90" s="51"/>
      <c r="Q90" s="51"/>
      <c r="R90" s="51"/>
      <c r="S90" s="51"/>
      <c r="T90" s="51"/>
      <c r="U90" s="51"/>
      <c r="V90" s="51"/>
      <c r="W90" s="51"/>
      <c r="AB90" s="86"/>
      <c r="AC90" s="86"/>
      <c r="AD90" s="86"/>
      <c r="AE90" s="86"/>
      <c r="AF90" s="86"/>
      <c r="AG90" s="86"/>
      <c r="AH90" s="87"/>
      <c r="AI90" s="87"/>
      <c r="AJ90" s="87"/>
      <c r="AK90" s="87"/>
      <c r="AL90" s="87"/>
      <c r="AM90" s="87"/>
      <c r="AN90" s="87"/>
      <c r="AO90" s="87"/>
      <c r="AP90" s="87"/>
      <c r="AQ90" s="87"/>
      <c r="AR90" s="87"/>
      <c r="AS90" s="87"/>
      <c r="AT90" s="87"/>
      <c r="AU90" s="87"/>
      <c r="AV90" s="87"/>
      <c r="AW90" s="87"/>
      <c r="AX90" s="87"/>
      <c r="AY90" s="88"/>
      <c r="AZ90" s="88"/>
      <c r="BA90" s="88"/>
      <c r="BB90" s="89"/>
    </row>
    <row r="91" spans="1:54" x14ac:dyDescent="0.3">
      <c r="A91" s="50"/>
      <c r="B91" s="50"/>
      <c r="C91" s="50"/>
      <c r="D91" s="50"/>
      <c r="E91" s="50"/>
      <c r="F91" s="50"/>
      <c r="G91" s="50"/>
      <c r="H91" s="51"/>
      <c r="I91" s="51"/>
      <c r="J91" s="51"/>
      <c r="K91" s="51"/>
      <c r="L91" s="51"/>
      <c r="M91" s="51"/>
      <c r="N91" s="51"/>
      <c r="O91" s="51"/>
      <c r="P91" s="51"/>
      <c r="Q91" s="51"/>
      <c r="R91" s="51"/>
      <c r="S91" s="51"/>
      <c r="T91" s="51"/>
      <c r="U91" s="51"/>
      <c r="V91" s="51"/>
      <c r="W91" s="51"/>
      <c r="AB91" s="86"/>
      <c r="AC91" s="86"/>
      <c r="AD91" s="86"/>
      <c r="AE91" s="86"/>
      <c r="AF91" s="86"/>
      <c r="AG91" s="86"/>
      <c r="AH91" s="87"/>
      <c r="AI91" s="87"/>
      <c r="AJ91" s="87"/>
      <c r="AK91" s="87"/>
      <c r="AL91" s="87"/>
      <c r="AM91" s="87"/>
      <c r="AN91" s="87"/>
      <c r="AO91" s="87"/>
      <c r="AP91" s="87"/>
      <c r="AQ91" s="87"/>
      <c r="AR91" s="87"/>
      <c r="AS91" s="87"/>
      <c r="AT91" s="87"/>
      <c r="AU91" s="87"/>
      <c r="AV91" s="87"/>
      <c r="AW91" s="87"/>
      <c r="AX91" s="87"/>
      <c r="AY91" s="88"/>
      <c r="AZ91" s="88"/>
      <c r="BA91" s="88"/>
      <c r="BB91" s="89"/>
    </row>
    <row r="92" spans="1:54" x14ac:dyDescent="0.3">
      <c r="A92" s="50"/>
      <c r="B92" s="50"/>
      <c r="C92" s="50"/>
      <c r="D92" s="50"/>
      <c r="E92" s="50"/>
      <c r="F92" s="50" t="s">
        <v>134</v>
      </c>
      <c r="G92" s="50"/>
      <c r="H92" s="51"/>
      <c r="I92" s="51"/>
      <c r="J92" s="51"/>
      <c r="K92" s="51"/>
      <c r="L92" s="51"/>
      <c r="M92" s="51"/>
      <c r="N92" s="51"/>
      <c r="O92" s="51"/>
      <c r="P92" s="51"/>
      <c r="Q92" s="51"/>
      <c r="R92" s="51"/>
      <c r="S92" s="51"/>
      <c r="T92" s="51"/>
      <c r="U92" s="51"/>
      <c r="V92" s="51"/>
      <c r="W92" s="51"/>
      <c r="AB92" s="86"/>
      <c r="AC92" s="86"/>
      <c r="AD92" s="86"/>
      <c r="AE92" s="86"/>
      <c r="AF92" s="86" t="s">
        <v>134</v>
      </c>
      <c r="AG92" s="86"/>
      <c r="AH92" s="87"/>
      <c r="AI92" s="87"/>
      <c r="AJ92" s="87"/>
      <c r="AK92" s="87"/>
      <c r="AL92" s="87"/>
      <c r="AM92" s="87"/>
      <c r="AN92" s="87"/>
      <c r="AO92" s="87"/>
      <c r="AP92" s="87"/>
      <c r="AQ92" s="87"/>
      <c r="AR92" s="87"/>
      <c r="AS92" s="87"/>
      <c r="AT92" s="87"/>
      <c r="AU92" s="87"/>
      <c r="AV92" s="87"/>
      <c r="AW92" s="87"/>
      <c r="AX92" s="87"/>
      <c r="AY92" s="88"/>
      <c r="AZ92" s="88"/>
      <c r="BA92" s="88"/>
      <c r="BB92" s="89"/>
    </row>
    <row r="93" spans="1:54" x14ac:dyDescent="0.3">
      <c r="A93" s="50"/>
      <c r="B93" s="50"/>
      <c r="C93" s="50"/>
      <c r="D93" s="50"/>
      <c r="E93" s="50"/>
      <c r="F93" s="50"/>
      <c r="G93" s="50" t="s">
        <v>135</v>
      </c>
      <c r="H93" s="51">
        <v>0</v>
      </c>
      <c r="I93" s="51">
        <v>750</v>
      </c>
      <c r="J93" s="51">
        <v>750</v>
      </c>
      <c r="K93" s="51">
        <v>750</v>
      </c>
      <c r="L93" s="51">
        <v>600</v>
      </c>
      <c r="M93" s="51">
        <v>600</v>
      </c>
      <c r="N93" s="51">
        <v>0</v>
      </c>
      <c r="O93" s="51">
        <v>750</v>
      </c>
      <c r="P93" s="51">
        <v>600</v>
      </c>
      <c r="Q93" s="51">
        <v>750</v>
      </c>
      <c r="R93" s="51">
        <v>750</v>
      </c>
      <c r="S93" s="51">
        <v>1500</v>
      </c>
      <c r="T93" s="51"/>
      <c r="U93" s="51">
        <f t="shared" ref="U93:U124" si="34">ROUND(SUM(H93:T93),5)</f>
        <v>7800</v>
      </c>
      <c r="V93" s="67">
        <v>11250</v>
      </c>
      <c r="W93" s="67">
        <v>11250</v>
      </c>
      <c r="X93" s="68" t="s">
        <v>246</v>
      </c>
      <c r="AB93" s="86"/>
      <c r="AC93" s="86"/>
      <c r="AD93" s="86"/>
      <c r="AE93" s="86"/>
      <c r="AF93" s="86"/>
      <c r="AG93" s="86" t="s">
        <v>135</v>
      </c>
      <c r="AH93" s="87"/>
      <c r="AI93" s="87"/>
      <c r="AJ93" s="87"/>
      <c r="AK93" s="87"/>
      <c r="AL93" s="87">
        <v>0</v>
      </c>
      <c r="AM93" s="87">
        <v>750</v>
      </c>
      <c r="AN93" s="87">
        <v>750</v>
      </c>
      <c r="AO93" s="87">
        <v>1500</v>
      </c>
      <c r="AP93" s="87">
        <v>0</v>
      </c>
      <c r="AQ93" s="87">
        <v>750</v>
      </c>
      <c r="AR93" s="87">
        <v>0</v>
      </c>
      <c r="AS93" s="87">
        <v>750</v>
      </c>
      <c r="AT93" s="87">
        <v>750</v>
      </c>
      <c r="AU93" s="87">
        <v>1500</v>
      </c>
      <c r="AV93" s="87">
        <v>0</v>
      </c>
      <c r="AW93" s="87">
        <v>1500</v>
      </c>
      <c r="AX93" s="87"/>
      <c r="AY93" s="88">
        <f t="shared" ref="AY93:AY124" si="35">ROUND(SUM(AH93:AX93),5)</f>
        <v>8250</v>
      </c>
      <c r="AZ93" s="88">
        <v>10500</v>
      </c>
      <c r="BA93" s="88">
        <v>11250</v>
      </c>
      <c r="BB93" s="89" t="s">
        <v>246</v>
      </c>
    </row>
    <row r="94" spans="1:54" x14ac:dyDescent="0.3">
      <c r="A94" s="50"/>
      <c r="B94" s="50"/>
      <c r="C94" s="50"/>
      <c r="D94" s="50"/>
      <c r="E94" s="50"/>
      <c r="F94" s="50"/>
      <c r="G94" s="50" t="s">
        <v>136</v>
      </c>
      <c r="H94" s="51">
        <v>258.55</v>
      </c>
      <c r="I94" s="51">
        <v>206.84</v>
      </c>
      <c r="J94" s="51">
        <v>0</v>
      </c>
      <c r="K94" s="51">
        <v>210.34</v>
      </c>
      <c r="L94" s="51">
        <v>332.12</v>
      </c>
      <c r="M94" s="51">
        <v>403.48</v>
      </c>
      <c r="N94" s="51">
        <v>405.04</v>
      </c>
      <c r="O94" s="51">
        <v>200.52</v>
      </c>
      <c r="P94" s="51">
        <v>131.38999999999999</v>
      </c>
      <c r="Q94" s="51">
        <v>454.67</v>
      </c>
      <c r="R94" s="51">
        <v>340.52</v>
      </c>
      <c r="S94" s="51">
        <v>250</v>
      </c>
      <c r="T94" s="51"/>
      <c r="U94" s="51">
        <f t="shared" si="34"/>
        <v>3193.47</v>
      </c>
      <c r="V94" s="67">
        <v>3600</v>
      </c>
      <c r="W94" s="67">
        <v>3600</v>
      </c>
      <c r="AB94" s="86"/>
      <c r="AC94" s="86"/>
      <c r="AD94" s="86"/>
      <c r="AE94" s="86"/>
      <c r="AF94" s="86"/>
      <c r="AG94" s="86" t="s">
        <v>136</v>
      </c>
      <c r="AH94" s="87"/>
      <c r="AI94" s="87"/>
      <c r="AJ94" s="87"/>
      <c r="AK94" s="87"/>
      <c r="AL94" s="87">
        <v>343.33</v>
      </c>
      <c r="AM94" s="87">
        <v>145.52000000000001</v>
      </c>
      <c r="AN94" s="87">
        <v>48.86</v>
      </c>
      <c r="AO94" s="87">
        <v>178.2</v>
      </c>
      <c r="AP94" s="87">
        <v>34.76</v>
      </c>
      <c r="AQ94" s="87">
        <v>320.76</v>
      </c>
      <c r="AR94" s="87">
        <v>60.83</v>
      </c>
      <c r="AS94" s="87">
        <v>0</v>
      </c>
      <c r="AT94" s="87">
        <v>438.46</v>
      </c>
      <c r="AU94" s="87">
        <v>295.25</v>
      </c>
      <c r="AV94" s="87">
        <v>422.36</v>
      </c>
      <c r="AW94" s="87">
        <v>0</v>
      </c>
      <c r="AX94" s="87"/>
      <c r="AY94" s="88">
        <f t="shared" si="35"/>
        <v>2288.33</v>
      </c>
      <c r="AZ94" s="88">
        <v>3100</v>
      </c>
      <c r="BA94" s="88">
        <v>3600</v>
      </c>
      <c r="BB94" s="89" t="s">
        <v>250</v>
      </c>
    </row>
    <row r="95" spans="1:54" x14ac:dyDescent="0.3">
      <c r="A95" s="50"/>
      <c r="B95" s="50"/>
      <c r="C95" s="50"/>
      <c r="D95" s="50"/>
      <c r="E95" s="50"/>
      <c r="F95" s="50"/>
      <c r="G95" s="50" t="s">
        <v>137</v>
      </c>
      <c r="H95" s="51">
        <v>0</v>
      </c>
      <c r="I95" s="51">
        <v>260.75</v>
      </c>
      <c r="J95" s="51">
        <v>0</v>
      </c>
      <c r="K95" s="51">
        <v>260.63</v>
      </c>
      <c r="L95" s="51">
        <v>551.49</v>
      </c>
      <c r="M95" s="51">
        <v>0</v>
      </c>
      <c r="N95" s="51">
        <v>470.42</v>
      </c>
      <c r="O95" s="51">
        <v>210.39</v>
      </c>
      <c r="P95" s="51">
        <v>210.39</v>
      </c>
      <c r="Q95" s="51">
        <v>420.66</v>
      </c>
      <c r="R95" s="51">
        <v>0</v>
      </c>
      <c r="S95" s="51">
        <v>512.9</v>
      </c>
      <c r="T95" s="51"/>
      <c r="U95" s="51">
        <f t="shared" si="34"/>
        <v>2897.63</v>
      </c>
      <c r="V95" s="67">
        <v>3300</v>
      </c>
      <c r="W95" s="67">
        <v>3300</v>
      </c>
      <c r="AB95" s="86"/>
      <c r="AC95" s="86"/>
      <c r="AD95" s="86"/>
      <c r="AE95" s="86"/>
      <c r="AF95" s="86"/>
      <c r="AG95" s="86" t="s">
        <v>137</v>
      </c>
      <c r="AH95" s="87"/>
      <c r="AI95" s="87"/>
      <c r="AJ95" s="87"/>
      <c r="AK95" s="87"/>
      <c r="AL95" s="87">
        <v>241.34</v>
      </c>
      <c r="AM95" s="87">
        <v>372.18</v>
      </c>
      <c r="AN95" s="87">
        <v>296.32</v>
      </c>
      <c r="AO95" s="87">
        <v>0</v>
      </c>
      <c r="AP95" s="87">
        <v>517.34</v>
      </c>
      <c r="AQ95" s="87">
        <v>256.20999999999998</v>
      </c>
      <c r="AR95" s="87">
        <v>256.41000000000003</v>
      </c>
      <c r="AS95" s="87">
        <v>256.41000000000003</v>
      </c>
      <c r="AT95" s="87">
        <v>256.41000000000003</v>
      </c>
      <c r="AU95" s="87">
        <v>256.47000000000003</v>
      </c>
      <c r="AV95" s="87">
        <v>240.82</v>
      </c>
      <c r="AW95" s="87">
        <v>240.82</v>
      </c>
      <c r="AX95" s="87"/>
      <c r="AY95" s="88">
        <f t="shared" si="35"/>
        <v>3190.73</v>
      </c>
      <c r="AZ95" s="88">
        <v>3900</v>
      </c>
      <c r="BA95" s="88">
        <v>3300</v>
      </c>
      <c r="BB95" s="89"/>
    </row>
    <row r="96" spans="1:54" ht="13.8" customHeight="1" x14ac:dyDescent="0.3">
      <c r="A96" s="50"/>
      <c r="B96" s="50"/>
      <c r="C96" s="50"/>
      <c r="D96" s="50"/>
      <c r="E96" s="50"/>
      <c r="F96" s="50"/>
      <c r="G96" s="50" t="s">
        <v>138</v>
      </c>
      <c r="H96" s="51">
        <v>0</v>
      </c>
      <c r="I96" s="51">
        <v>0</v>
      </c>
      <c r="J96" s="51">
        <v>0</v>
      </c>
      <c r="K96" s="51">
        <v>0</v>
      </c>
      <c r="L96" s="51">
        <v>0</v>
      </c>
      <c r="M96" s="51">
        <v>0</v>
      </c>
      <c r="N96" s="51">
        <v>0</v>
      </c>
      <c r="O96" s="51">
        <v>0</v>
      </c>
      <c r="P96" s="51">
        <v>0</v>
      </c>
      <c r="Q96" s="51">
        <v>0</v>
      </c>
      <c r="R96" s="51">
        <v>0</v>
      </c>
      <c r="S96" s="51">
        <v>0</v>
      </c>
      <c r="T96" s="51"/>
      <c r="U96" s="51">
        <f t="shared" si="34"/>
        <v>0</v>
      </c>
      <c r="V96" s="67">
        <v>0</v>
      </c>
      <c r="W96" s="67">
        <v>1200</v>
      </c>
      <c r="X96" s="68" t="s">
        <v>295</v>
      </c>
      <c r="AB96" s="86"/>
      <c r="AC96" s="86"/>
      <c r="AD96" s="86"/>
      <c r="AE96" s="86"/>
      <c r="AF96" s="86"/>
      <c r="AG96" s="86" t="s">
        <v>138</v>
      </c>
      <c r="AH96" s="87"/>
      <c r="AI96" s="87"/>
      <c r="AJ96" s="87"/>
      <c r="AK96" s="87"/>
      <c r="AL96" s="87">
        <v>0</v>
      </c>
      <c r="AM96" s="87">
        <v>0</v>
      </c>
      <c r="AN96" s="87">
        <v>0</v>
      </c>
      <c r="AO96" s="87">
        <v>0</v>
      </c>
      <c r="AP96" s="87">
        <v>0</v>
      </c>
      <c r="AQ96" s="87">
        <v>0</v>
      </c>
      <c r="AR96" s="87">
        <v>0</v>
      </c>
      <c r="AS96" s="87">
        <v>0</v>
      </c>
      <c r="AT96" s="87">
        <v>0</v>
      </c>
      <c r="AU96" s="87">
        <v>0</v>
      </c>
      <c r="AV96" s="87">
        <v>0</v>
      </c>
      <c r="AW96" s="87">
        <v>0</v>
      </c>
      <c r="AX96" s="87"/>
      <c r="AY96" s="88">
        <f t="shared" si="35"/>
        <v>0</v>
      </c>
      <c r="AZ96" s="88">
        <v>1100</v>
      </c>
      <c r="BA96" s="88">
        <v>0</v>
      </c>
      <c r="BB96" s="89" t="s">
        <v>248</v>
      </c>
    </row>
    <row r="97" spans="1:54" x14ac:dyDescent="0.3">
      <c r="A97" s="50"/>
      <c r="B97" s="50"/>
      <c r="C97" s="50"/>
      <c r="D97" s="50"/>
      <c r="E97" s="50"/>
      <c r="F97" s="50"/>
      <c r="G97" s="50" t="s">
        <v>139</v>
      </c>
      <c r="H97" s="51">
        <v>1321.74</v>
      </c>
      <c r="I97" s="51">
        <v>1321.74</v>
      </c>
      <c r="J97" s="51">
        <v>1321.74</v>
      </c>
      <c r="K97" s="51">
        <v>1321.74</v>
      </c>
      <c r="L97" s="51">
        <v>1371.24</v>
      </c>
      <c r="M97" s="51">
        <v>1371.24</v>
      </c>
      <c r="N97" s="51">
        <v>1371.24</v>
      </c>
      <c r="O97" s="51">
        <v>1371.24</v>
      </c>
      <c r="P97" s="51">
        <v>1371.24</v>
      </c>
      <c r="Q97" s="51">
        <v>1424.65</v>
      </c>
      <c r="R97" s="51">
        <v>1371.24</v>
      </c>
      <c r="S97" s="51">
        <v>1371.24</v>
      </c>
      <c r="T97" s="51"/>
      <c r="U97" s="51">
        <f t="shared" si="34"/>
        <v>16310.29</v>
      </c>
      <c r="V97" s="67">
        <v>15900</v>
      </c>
      <c r="W97" s="67">
        <v>20500</v>
      </c>
      <c r="X97" s="68" t="s">
        <v>302</v>
      </c>
      <c r="AB97" s="86"/>
      <c r="AC97" s="86"/>
      <c r="AD97" s="86"/>
      <c r="AE97" s="86"/>
      <c r="AF97" s="86"/>
      <c r="AG97" s="86" t="s">
        <v>139</v>
      </c>
      <c r="AH97" s="87"/>
      <c r="AI97" s="87"/>
      <c r="AJ97" s="87"/>
      <c r="AK97" s="87"/>
      <c r="AL97" s="87">
        <v>1196.9100000000001</v>
      </c>
      <c r="AM97" s="87">
        <v>1196.9100000000001</v>
      </c>
      <c r="AN97" s="87">
        <v>1196.9100000000001</v>
      </c>
      <c r="AO97" s="87">
        <v>1196.9100000000001</v>
      </c>
      <c r="AP97" s="87">
        <v>1196.9100000000001</v>
      </c>
      <c r="AQ97" s="87">
        <v>1196.9100000000001</v>
      </c>
      <c r="AR97" s="87">
        <v>1196.9100000000001</v>
      </c>
      <c r="AS97" s="87">
        <v>1196.9100000000001</v>
      </c>
      <c r="AT97" s="87">
        <v>1196.9100000000001</v>
      </c>
      <c r="AU97" s="87">
        <v>1196.9100000000001</v>
      </c>
      <c r="AV97" s="87">
        <v>1196.9100000000001</v>
      </c>
      <c r="AW97" s="87">
        <v>1196.9100000000001</v>
      </c>
      <c r="AX97" s="87"/>
      <c r="AY97" s="88">
        <f t="shared" si="35"/>
        <v>14362.92</v>
      </c>
      <c r="AZ97" s="88">
        <v>14400</v>
      </c>
      <c r="BA97" s="88">
        <v>15900</v>
      </c>
      <c r="BB97" s="89" t="s">
        <v>255</v>
      </c>
    </row>
    <row r="98" spans="1:54" x14ac:dyDescent="0.3">
      <c r="A98" s="50"/>
      <c r="B98" s="50"/>
      <c r="C98" s="50"/>
      <c r="D98" s="50"/>
      <c r="E98" s="50"/>
      <c r="F98" s="50"/>
      <c r="G98" s="50" t="s">
        <v>140</v>
      </c>
      <c r="H98" s="51">
        <v>0</v>
      </c>
      <c r="I98" s="51">
        <v>120</v>
      </c>
      <c r="J98" s="51">
        <v>0</v>
      </c>
      <c r="K98" s="51">
        <v>2669</v>
      </c>
      <c r="L98" s="51">
        <v>284</v>
      </c>
      <c r="M98" s="51">
        <v>0</v>
      </c>
      <c r="N98" s="51">
        <v>0</v>
      </c>
      <c r="O98" s="51">
        <v>175</v>
      </c>
      <c r="P98" s="51">
        <v>0</v>
      </c>
      <c r="Q98" s="51">
        <v>300</v>
      </c>
      <c r="R98" s="51">
        <v>0</v>
      </c>
      <c r="S98" s="51">
        <v>0</v>
      </c>
      <c r="T98" s="51"/>
      <c r="U98" s="51">
        <f t="shared" si="34"/>
        <v>3548</v>
      </c>
      <c r="V98" s="67">
        <v>2600</v>
      </c>
      <c r="W98" s="67">
        <v>3600</v>
      </c>
      <c r="X98" s="68" t="s">
        <v>258</v>
      </c>
      <c r="AB98" s="86"/>
      <c r="AC98" s="86"/>
      <c r="AD98" s="86"/>
      <c r="AE98" s="86"/>
      <c r="AF98" s="86"/>
      <c r="AG98" s="86" t="s">
        <v>140</v>
      </c>
      <c r="AH98" s="87"/>
      <c r="AI98" s="87"/>
      <c r="AJ98" s="87"/>
      <c r="AK98" s="87"/>
      <c r="AL98" s="87">
        <v>120</v>
      </c>
      <c r="AM98" s="87">
        <v>75</v>
      </c>
      <c r="AN98" s="87">
        <v>0</v>
      </c>
      <c r="AO98" s="87">
        <v>0</v>
      </c>
      <c r="AP98" s="87">
        <v>395</v>
      </c>
      <c r="AQ98" s="87">
        <v>1230</v>
      </c>
      <c r="AR98" s="87">
        <v>584</v>
      </c>
      <c r="AS98" s="87">
        <v>0</v>
      </c>
      <c r="AT98" s="87">
        <v>0</v>
      </c>
      <c r="AU98" s="87">
        <v>0</v>
      </c>
      <c r="AV98" s="87">
        <v>0</v>
      </c>
      <c r="AW98" s="87">
        <v>0</v>
      </c>
      <c r="AX98" s="87"/>
      <c r="AY98" s="88">
        <f t="shared" si="35"/>
        <v>2404</v>
      </c>
      <c r="AZ98" s="88">
        <v>2600</v>
      </c>
      <c r="BA98" s="88">
        <v>2600</v>
      </c>
      <c r="BB98" s="89"/>
    </row>
    <row r="99" spans="1:54" x14ac:dyDescent="0.3">
      <c r="A99" s="50"/>
      <c r="B99" s="50"/>
      <c r="C99" s="50"/>
      <c r="D99" s="50"/>
      <c r="E99" s="50"/>
      <c r="F99" s="50"/>
      <c r="G99" s="50" t="s">
        <v>141</v>
      </c>
      <c r="H99" s="51">
        <v>16</v>
      </c>
      <c r="I99" s="51">
        <v>16</v>
      </c>
      <c r="J99" s="51">
        <v>16</v>
      </c>
      <c r="K99" s="51">
        <v>16</v>
      </c>
      <c r="L99" s="51">
        <v>31</v>
      </c>
      <c r="M99" s="51">
        <v>16</v>
      </c>
      <c r="N99" s="51">
        <v>16</v>
      </c>
      <c r="O99" s="51">
        <v>26</v>
      </c>
      <c r="P99" s="51">
        <v>16</v>
      </c>
      <c r="Q99" s="51">
        <v>26</v>
      </c>
      <c r="R99" s="51">
        <v>16</v>
      </c>
      <c r="S99" s="51">
        <v>16</v>
      </c>
      <c r="T99" s="51"/>
      <c r="U99" s="51">
        <f t="shared" si="34"/>
        <v>227</v>
      </c>
      <c r="V99" s="67">
        <v>300</v>
      </c>
      <c r="W99" s="67">
        <v>300</v>
      </c>
      <c r="AB99" s="86"/>
      <c r="AC99" s="86"/>
      <c r="AD99" s="86"/>
      <c r="AE99" s="86"/>
      <c r="AF99" s="86"/>
      <c r="AG99" s="86" t="s">
        <v>141</v>
      </c>
      <c r="AH99" s="87"/>
      <c r="AI99" s="87"/>
      <c r="AJ99" s="87"/>
      <c r="AK99" s="87"/>
      <c r="AL99" s="87">
        <v>21</v>
      </c>
      <c r="AM99" s="87">
        <v>21</v>
      </c>
      <c r="AN99" s="87">
        <v>21</v>
      </c>
      <c r="AO99" s="87">
        <v>56</v>
      </c>
      <c r="AP99" s="87">
        <v>21</v>
      </c>
      <c r="AQ99" s="87">
        <v>21</v>
      </c>
      <c r="AR99" s="87">
        <v>21</v>
      </c>
      <c r="AS99" s="87">
        <v>16</v>
      </c>
      <c r="AT99" s="87">
        <v>16</v>
      </c>
      <c r="AU99" s="87">
        <v>16</v>
      </c>
      <c r="AV99" s="87">
        <v>21</v>
      </c>
      <c r="AW99" s="87">
        <v>21</v>
      </c>
      <c r="AX99" s="87"/>
      <c r="AY99" s="88">
        <f t="shared" si="35"/>
        <v>272</v>
      </c>
      <c r="AZ99" s="88">
        <v>800</v>
      </c>
      <c r="BA99" s="88">
        <v>300</v>
      </c>
      <c r="BB99" s="89"/>
    </row>
    <row r="100" spans="1:54" x14ac:dyDescent="0.3">
      <c r="A100" s="50"/>
      <c r="B100" s="50"/>
      <c r="C100" s="50"/>
      <c r="D100" s="50"/>
      <c r="E100" s="50"/>
      <c r="F100" s="50"/>
      <c r="G100" s="50" t="s">
        <v>142</v>
      </c>
      <c r="H100" s="51">
        <v>0</v>
      </c>
      <c r="I100" s="51">
        <v>0</v>
      </c>
      <c r="J100" s="51">
        <v>0</v>
      </c>
      <c r="K100" s="51">
        <v>0</v>
      </c>
      <c r="L100" s="51">
        <v>0</v>
      </c>
      <c r="M100" s="51">
        <v>0</v>
      </c>
      <c r="N100" s="51">
        <v>0</v>
      </c>
      <c r="O100" s="51">
        <v>0</v>
      </c>
      <c r="P100" s="51">
        <v>0</v>
      </c>
      <c r="Q100" s="51">
        <v>149.9</v>
      </c>
      <c r="R100" s="51">
        <v>2.99</v>
      </c>
      <c r="S100" s="51">
        <v>0</v>
      </c>
      <c r="T100" s="51"/>
      <c r="U100" s="51">
        <f t="shared" si="34"/>
        <v>152.88999999999999</v>
      </c>
      <c r="V100" s="67">
        <v>2000</v>
      </c>
      <c r="W100" s="67">
        <v>500</v>
      </c>
      <c r="AB100" s="86"/>
      <c r="AC100" s="86"/>
      <c r="AD100" s="86"/>
      <c r="AE100" s="86"/>
      <c r="AF100" s="86"/>
      <c r="AG100" s="86" t="s">
        <v>142</v>
      </c>
      <c r="AH100" s="87"/>
      <c r="AI100" s="87"/>
      <c r="AJ100" s="87"/>
      <c r="AK100" s="87"/>
      <c r="AL100" s="87">
        <v>0</v>
      </c>
      <c r="AM100" s="87">
        <v>0</v>
      </c>
      <c r="AN100" s="87">
        <v>0</v>
      </c>
      <c r="AO100" s="87">
        <v>0</v>
      </c>
      <c r="AP100" s="87">
        <v>837.34</v>
      </c>
      <c r="AQ100" s="87">
        <v>0</v>
      </c>
      <c r="AR100" s="87">
        <v>0</v>
      </c>
      <c r="AS100" s="87">
        <v>0</v>
      </c>
      <c r="AT100" s="87">
        <v>0</v>
      </c>
      <c r="AU100" s="87">
        <v>0</v>
      </c>
      <c r="AV100" s="87">
        <v>0</v>
      </c>
      <c r="AW100" s="87">
        <v>1850</v>
      </c>
      <c r="AX100" s="87"/>
      <c r="AY100" s="88">
        <f t="shared" si="35"/>
        <v>2687.34</v>
      </c>
      <c r="AZ100" s="88">
        <v>1500</v>
      </c>
      <c r="BA100" s="88">
        <v>2000</v>
      </c>
      <c r="BB100" s="89" t="s">
        <v>258</v>
      </c>
    </row>
    <row r="101" spans="1:54" x14ac:dyDescent="0.3">
      <c r="A101" s="50"/>
      <c r="B101" s="50"/>
      <c r="C101" s="50"/>
      <c r="D101" s="50"/>
      <c r="E101" s="50"/>
      <c r="F101" s="50"/>
      <c r="G101" s="50" t="s">
        <v>143</v>
      </c>
      <c r="H101" s="51">
        <v>2.99</v>
      </c>
      <c r="I101" s="51">
        <v>356.44</v>
      </c>
      <c r="J101" s="51">
        <v>356.92</v>
      </c>
      <c r="K101" s="51">
        <v>356.92</v>
      </c>
      <c r="L101" s="51">
        <v>848.03</v>
      </c>
      <c r="M101" s="51">
        <v>497.98</v>
      </c>
      <c r="N101" s="51">
        <v>354.64</v>
      </c>
      <c r="O101" s="51">
        <v>371.91</v>
      </c>
      <c r="P101" s="51">
        <v>815.47</v>
      </c>
      <c r="Q101" s="51">
        <v>374.57</v>
      </c>
      <c r="R101" s="51">
        <v>0</v>
      </c>
      <c r="S101" s="51">
        <v>566.09</v>
      </c>
      <c r="T101" s="51"/>
      <c r="U101" s="51">
        <f t="shared" si="34"/>
        <v>4901.96</v>
      </c>
      <c r="V101" s="67">
        <v>7000</v>
      </c>
      <c r="W101" s="67">
        <v>7000</v>
      </c>
      <c r="AB101" s="86"/>
      <c r="AC101" s="86"/>
      <c r="AD101" s="86"/>
      <c r="AE101" s="86"/>
      <c r="AF101" s="86"/>
      <c r="AG101" s="86" t="s">
        <v>143</v>
      </c>
      <c r="AH101" s="87"/>
      <c r="AI101" s="87"/>
      <c r="AJ101" s="87"/>
      <c r="AK101" s="87"/>
      <c r="AL101" s="87">
        <v>2.99</v>
      </c>
      <c r="AM101" s="87">
        <v>488.86</v>
      </c>
      <c r="AN101" s="87">
        <v>346.22</v>
      </c>
      <c r="AO101" s="87">
        <v>418.45</v>
      </c>
      <c r="AP101" s="87">
        <v>349.26</v>
      </c>
      <c r="AQ101" s="87">
        <v>350.07</v>
      </c>
      <c r="AR101" s="87">
        <v>620.41999999999996</v>
      </c>
      <c r="AS101" s="87">
        <v>349.84</v>
      </c>
      <c r="AT101" s="87">
        <v>350.02</v>
      </c>
      <c r="AU101" s="87">
        <v>496.21</v>
      </c>
      <c r="AV101" s="87">
        <v>887.43</v>
      </c>
      <c r="AW101" s="87">
        <v>361.82</v>
      </c>
      <c r="AX101" s="87"/>
      <c r="AY101" s="88">
        <f t="shared" si="35"/>
        <v>5021.59</v>
      </c>
      <c r="AZ101" s="88">
        <v>7000</v>
      </c>
      <c r="BA101" s="88">
        <v>7000</v>
      </c>
      <c r="BB101" s="89"/>
    </row>
    <row r="102" spans="1:54" x14ac:dyDescent="0.3">
      <c r="A102" s="50"/>
      <c r="B102" s="50"/>
      <c r="C102" s="50"/>
      <c r="D102" s="50"/>
      <c r="E102" s="50"/>
      <c r="F102" s="50"/>
      <c r="G102" s="50" t="s">
        <v>144</v>
      </c>
      <c r="H102" s="51">
        <v>0</v>
      </c>
      <c r="I102" s="51">
        <v>0</v>
      </c>
      <c r="J102" s="51">
        <v>0</v>
      </c>
      <c r="K102" s="51">
        <v>0</v>
      </c>
      <c r="L102" s="51">
        <v>0</v>
      </c>
      <c r="M102" s="51">
        <v>0</v>
      </c>
      <c r="N102" s="51">
        <v>418.65</v>
      </c>
      <c r="O102" s="51">
        <v>0</v>
      </c>
      <c r="P102" s="51">
        <v>270.52</v>
      </c>
      <c r="Q102" s="51">
        <v>0</v>
      </c>
      <c r="R102" s="51">
        <v>0</v>
      </c>
      <c r="S102" s="51">
        <v>0</v>
      </c>
      <c r="T102" s="51"/>
      <c r="U102" s="51">
        <f t="shared" si="34"/>
        <v>689.17</v>
      </c>
      <c r="V102" s="67">
        <v>0</v>
      </c>
      <c r="W102" s="67">
        <v>1000</v>
      </c>
      <c r="X102" s="68" t="s">
        <v>296</v>
      </c>
      <c r="AB102" s="86"/>
      <c r="AC102" s="86"/>
      <c r="AD102" s="86"/>
      <c r="AE102" s="86"/>
      <c r="AF102" s="86"/>
      <c r="AG102" s="86" t="s">
        <v>144</v>
      </c>
      <c r="AH102" s="87"/>
      <c r="AI102" s="87"/>
      <c r="AJ102" s="87"/>
      <c r="AK102" s="87"/>
      <c r="AL102" s="87">
        <v>0</v>
      </c>
      <c r="AM102" s="87">
        <v>0</v>
      </c>
      <c r="AN102" s="87">
        <v>0</v>
      </c>
      <c r="AO102" s="87">
        <v>0</v>
      </c>
      <c r="AP102" s="87">
        <v>0</v>
      </c>
      <c r="AQ102" s="87">
        <v>0</v>
      </c>
      <c r="AR102" s="87">
        <v>0</v>
      </c>
      <c r="AS102" s="87">
        <v>0</v>
      </c>
      <c r="AT102" s="87">
        <v>0</v>
      </c>
      <c r="AU102" s="87">
        <v>0</v>
      </c>
      <c r="AV102" s="87">
        <v>0</v>
      </c>
      <c r="AW102" s="87">
        <v>0</v>
      </c>
      <c r="AX102" s="87"/>
      <c r="AY102" s="88">
        <f t="shared" si="35"/>
        <v>0</v>
      </c>
      <c r="AZ102" s="88">
        <v>1200</v>
      </c>
      <c r="BA102" s="88">
        <v>0</v>
      </c>
      <c r="BB102" s="89" t="s">
        <v>248</v>
      </c>
    </row>
    <row r="103" spans="1:54" x14ac:dyDescent="0.3">
      <c r="A103" s="50"/>
      <c r="B103" s="50"/>
      <c r="C103" s="50"/>
      <c r="D103" s="50"/>
      <c r="E103" s="50"/>
      <c r="F103" s="50"/>
      <c r="G103" s="50" t="s">
        <v>145</v>
      </c>
      <c r="H103" s="51">
        <v>364.31</v>
      </c>
      <c r="I103" s="51">
        <v>41.55</v>
      </c>
      <c r="J103" s="51">
        <v>778.44</v>
      </c>
      <c r="K103" s="51">
        <v>71.599999999999994</v>
      </c>
      <c r="L103" s="51">
        <v>0</v>
      </c>
      <c r="M103" s="51">
        <v>601.58000000000004</v>
      </c>
      <c r="N103" s="51">
        <v>0</v>
      </c>
      <c r="O103" s="51">
        <v>0</v>
      </c>
      <c r="P103" s="51">
        <v>411.56</v>
      </c>
      <c r="Q103" s="51">
        <v>137.16999999999999</v>
      </c>
      <c r="R103" s="51">
        <v>0</v>
      </c>
      <c r="S103" s="51">
        <v>134.16</v>
      </c>
      <c r="T103" s="51"/>
      <c r="U103" s="51">
        <f t="shared" si="34"/>
        <v>2540.37</v>
      </c>
      <c r="V103" s="67">
        <v>3000</v>
      </c>
      <c r="W103" s="67">
        <v>3000</v>
      </c>
      <c r="AB103" s="86"/>
      <c r="AC103" s="86"/>
      <c r="AD103" s="86"/>
      <c r="AE103" s="86"/>
      <c r="AF103" s="86"/>
      <c r="AG103" s="86" t="s">
        <v>145</v>
      </c>
      <c r="AH103" s="87"/>
      <c r="AI103" s="87"/>
      <c r="AJ103" s="87"/>
      <c r="AK103" s="87"/>
      <c r="AL103" s="87">
        <v>195.95</v>
      </c>
      <c r="AM103" s="87">
        <v>275.38</v>
      </c>
      <c r="AN103" s="87">
        <v>60.79</v>
      </c>
      <c r="AO103" s="87">
        <v>107.39</v>
      </c>
      <c r="AP103" s="87">
        <v>191.56</v>
      </c>
      <c r="AQ103" s="87">
        <v>69.58</v>
      </c>
      <c r="AR103" s="87">
        <v>0</v>
      </c>
      <c r="AS103" s="87">
        <v>89.08</v>
      </c>
      <c r="AT103" s="87">
        <v>113.48</v>
      </c>
      <c r="AU103" s="87">
        <v>162.65</v>
      </c>
      <c r="AV103" s="87">
        <v>59.88</v>
      </c>
      <c r="AW103" s="87">
        <v>17.399999999999999</v>
      </c>
      <c r="AX103" s="87"/>
      <c r="AY103" s="88">
        <f t="shared" si="35"/>
        <v>1343.14</v>
      </c>
      <c r="AZ103" s="88">
        <v>3000</v>
      </c>
      <c r="BA103" s="88">
        <v>3000</v>
      </c>
      <c r="BB103" s="89"/>
    </row>
    <row r="104" spans="1:54" x14ac:dyDescent="0.3">
      <c r="A104" s="50"/>
      <c r="B104" s="50"/>
      <c r="C104" s="50"/>
      <c r="D104" s="50"/>
      <c r="E104" s="50"/>
      <c r="F104" s="50"/>
      <c r="G104" s="50" t="s">
        <v>146</v>
      </c>
      <c r="H104" s="51">
        <v>0</v>
      </c>
      <c r="I104" s="51">
        <v>0</v>
      </c>
      <c r="J104" s="51">
        <v>160.51</v>
      </c>
      <c r="K104" s="51">
        <v>232</v>
      </c>
      <c r="L104" s="51">
        <v>0</v>
      </c>
      <c r="M104" s="51">
        <v>0</v>
      </c>
      <c r="N104" s="51">
        <v>0</v>
      </c>
      <c r="O104" s="51">
        <v>0</v>
      </c>
      <c r="P104" s="51">
        <v>0</v>
      </c>
      <c r="Q104" s="51">
        <v>232</v>
      </c>
      <c r="R104" s="51">
        <v>0</v>
      </c>
      <c r="S104" s="51">
        <v>245</v>
      </c>
      <c r="T104" s="51"/>
      <c r="U104" s="51">
        <f t="shared" si="34"/>
        <v>869.51</v>
      </c>
      <c r="V104" s="67">
        <v>1000</v>
      </c>
      <c r="W104" s="67">
        <v>1000</v>
      </c>
      <c r="AB104" s="86"/>
      <c r="AC104" s="86"/>
      <c r="AD104" s="86"/>
      <c r="AE104" s="86"/>
      <c r="AF104" s="86"/>
      <c r="AG104" s="86" t="s">
        <v>146</v>
      </c>
      <c r="AH104" s="87"/>
      <c r="AI104" s="87"/>
      <c r="AJ104" s="87"/>
      <c r="AK104" s="87"/>
      <c r="AL104" s="87">
        <v>110</v>
      </c>
      <c r="AM104" s="87">
        <v>0</v>
      </c>
      <c r="AN104" s="87">
        <v>136.35</v>
      </c>
      <c r="AO104" s="87">
        <v>0</v>
      </c>
      <c r="AP104" s="87">
        <v>0</v>
      </c>
      <c r="AQ104" s="87">
        <v>0</v>
      </c>
      <c r="AR104" s="87">
        <v>220</v>
      </c>
      <c r="AS104" s="87">
        <v>0</v>
      </c>
      <c r="AT104" s="87">
        <v>0</v>
      </c>
      <c r="AU104" s="87">
        <v>44.39</v>
      </c>
      <c r="AV104" s="87">
        <v>0</v>
      </c>
      <c r="AW104" s="87">
        <v>240</v>
      </c>
      <c r="AX104" s="87"/>
      <c r="AY104" s="88">
        <f t="shared" si="35"/>
        <v>750.74</v>
      </c>
      <c r="AZ104" s="88">
        <v>1000</v>
      </c>
      <c r="BA104" s="88">
        <v>1000</v>
      </c>
      <c r="BB104" s="89"/>
    </row>
    <row r="105" spans="1:54" x14ac:dyDescent="0.3">
      <c r="A105" s="50"/>
      <c r="B105" s="50"/>
      <c r="C105" s="50"/>
      <c r="D105" s="50"/>
      <c r="E105" s="50"/>
      <c r="F105" s="50"/>
      <c r="G105" s="50" t="s">
        <v>147</v>
      </c>
      <c r="H105" s="51">
        <v>0</v>
      </c>
      <c r="I105" s="51">
        <v>0</v>
      </c>
      <c r="J105" s="51">
        <v>0</v>
      </c>
      <c r="K105" s="51">
        <v>0</v>
      </c>
      <c r="L105" s="51">
        <v>803.32</v>
      </c>
      <c r="M105" s="51">
        <v>0</v>
      </c>
      <c r="N105" s="51">
        <v>0</v>
      </c>
      <c r="O105" s="51">
        <v>0</v>
      </c>
      <c r="P105" s="51">
        <v>5.98</v>
      </c>
      <c r="Q105" s="51">
        <v>0</v>
      </c>
      <c r="R105" s="51">
        <v>0</v>
      </c>
      <c r="S105" s="51">
        <v>369.97</v>
      </c>
      <c r="T105" s="51"/>
      <c r="U105" s="51">
        <f t="shared" si="34"/>
        <v>1179.27</v>
      </c>
      <c r="V105" s="67">
        <v>2500</v>
      </c>
      <c r="W105" s="67">
        <v>2500</v>
      </c>
      <c r="AB105" s="86"/>
      <c r="AC105" s="86"/>
      <c r="AD105" s="86"/>
      <c r="AE105" s="86"/>
      <c r="AF105" s="86"/>
      <c r="AG105" s="86" t="s">
        <v>147</v>
      </c>
      <c r="AH105" s="87"/>
      <c r="AI105" s="87"/>
      <c r="AJ105" s="87"/>
      <c r="AK105" s="87"/>
      <c r="AL105" s="87">
        <v>42.34</v>
      </c>
      <c r="AM105" s="87">
        <v>0</v>
      </c>
      <c r="AN105" s="87">
        <v>0</v>
      </c>
      <c r="AO105" s="87">
        <v>0</v>
      </c>
      <c r="AP105" s="87">
        <v>0</v>
      </c>
      <c r="AQ105" s="87">
        <v>0</v>
      </c>
      <c r="AR105" s="87">
        <v>0</v>
      </c>
      <c r="AS105" s="87">
        <v>0</v>
      </c>
      <c r="AT105" s="87">
        <v>0</v>
      </c>
      <c r="AU105" s="87">
        <v>195.72</v>
      </c>
      <c r="AV105" s="87">
        <v>570.48</v>
      </c>
      <c r="AW105" s="87">
        <v>2.99</v>
      </c>
      <c r="AX105" s="87"/>
      <c r="AY105" s="88">
        <f t="shared" si="35"/>
        <v>811.53</v>
      </c>
      <c r="AZ105" s="88">
        <v>4000</v>
      </c>
      <c r="BA105" s="88">
        <v>2500</v>
      </c>
      <c r="BB105" s="89"/>
    </row>
    <row r="106" spans="1:54" x14ac:dyDescent="0.3">
      <c r="A106" s="50"/>
      <c r="B106" s="50"/>
      <c r="C106" s="50"/>
      <c r="D106" s="50"/>
      <c r="E106" s="50"/>
      <c r="F106" s="50"/>
      <c r="G106" s="50" t="s">
        <v>232</v>
      </c>
      <c r="H106" s="51">
        <v>92.05</v>
      </c>
      <c r="I106" s="51">
        <v>0</v>
      </c>
      <c r="J106" s="51">
        <v>0</v>
      </c>
      <c r="K106" s="51">
        <v>0</v>
      </c>
      <c r="L106" s="51">
        <v>0</v>
      </c>
      <c r="M106" s="51">
        <v>0</v>
      </c>
      <c r="N106" s="51">
        <v>0</v>
      </c>
      <c r="O106" s="51">
        <v>53.22</v>
      </c>
      <c r="P106" s="51">
        <v>0</v>
      </c>
      <c r="Q106" s="51">
        <v>30.5</v>
      </c>
      <c r="R106" s="51">
        <v>0</v>
      </c>
      <c r="S106" s="51">
        <v>0</v>
      </c>
      <c r="T106" s="51"/>
      <c r="U106" s="51">
        <f t="shared" si="34"/>
        <v>175.77</v>
      </c>
      <c r="V106" s="67">
        <v>2400</v>
      </c>
      <c r="W106" s="67">
        <v>2400</v>
      </c>
      <c r="AB106" s="86"/>
      <c r="AC106" s="86"/>
      <c r="AD106" s="86"/>
      <c r="AE106" s="86"/>
      <c r="AF106" s="86"/>
      <c r="AG106" s="86" t="s">
        <v>232</v>
      </c>
      <c r="AH106" s="87"/>
      <c r="AI106" s="87"/>
      <c r="AJ106" s="87"/>
      <c r="AK106" s="87"/>
      <c r="AL106" s="87">
        <v>0</v>
      </c>
      <c r="AM106" s="87">
        <v>22.04</v>
      </c>
      <c r="AN106" s="87">
        <v>0</v>
      </c>
      <c r="AO106" s="87">
        <v>0</v>
      </c>
      <c r="AP106" s="87">
        <v>0</v>
      </c>
      <c r="AQ106" s="87">
        <v>0</v>
      </c>
      <c r="AR106" s="87">
        <v>0</v>
      </c>
      <c r="AS106" s="87">
        <v>0</v>
      </c>
      <c r="AT106" s="87">
        <v>0</v>
      </c>
      <c r="AU106" s="87">
        <v>0</v>
      </c>
      <c r="AV106" s="87">
        <v>0</v>
      </c>
      <c r="AW106" s="87">
        <v>0</v>
      </c>
      <c r="AX106" s="87"/>
      <c r="AY106" s="88">
        <f t="shared" si="35"/>
        <v>22.04</v>
      </c>
      <c r="AZ106" s="88">
        <v>0</v>
      </c>
      <c r="BA106" s="88">
        <v>2400</v>
      </c>
      <c r="BB106" s="89" t="s">
        <v>249</v>
      </c>
    </row>
    <row r="107" spans="1:54" x14ac:dyDescent="0.3">
      <c r="A107" s="50"/>
      <c r="B107" s="50"/>
      <c r="C107" s="50"/>
      <c r="D107" s="50"/>
      <c r="E107" s="50"/>
      <c r="F107" s="50"/>
      <c r="G107" s="50" t="s">
        <v>148</v>
      </c>
      <c r="H107" s="51">
        <v>115</v>
      </c>
      <c r="I107" s="51">
        <v>115</v>
      </c>
      <c r="J107" s="51">
        <v>230</v>
      </c>
      <c r="K107" s="51">
        <v>0</v>
      </c>
      <c r="L107" s="51">
        <v>115</v>
      </c>
      <c r="M107" s="51">
        <v>115</v>
      </c>
      <c r="N107" s="51">
        <v>115</v>
      </c>
      <c r="O107" s="51">
        <v>115</v>
      </c>
      <c r="P107" s="51">
        <v>115</v>
      </c>
      <c r="Q107" s="51">
        <v>115</v>
      </c>
      <c r="R107" s="51">
        <v>115</v>
      </c>
      <c r="S107" s="51">
        <v>115</v>
      </c>
      <c r="T107" s="51"/>
      <c r="U107" s="51">
        <f t="shared" si="34"/>
        <v>1380</v>
      </c>
      <c r="V107" s="67">
        <v>1400</v>
      </c>
      <c r="W107" s="67">
        <v>1400</v>
      </c>
      <c r="AB107" s="86"/>
      <c r="AC107" s="86"/>
      <c r="AD107" s="86"/>
      <c r="AE107" s="86"/>
      <c r="AF107" s="86"/>
      <c r="AG107" s="86" t="s">
        <v>148</v>
      </c>
      <c r="AH107" s="87"/>
      <c r="AI107" s="87"/>
      <c r="AJ107" s="87"/>
      <c r="AK107" s="87"/>
      <c r="AL107" s="87">
        <v>116</v>
      </c>
      <c r="AM107" s="87">
        <v>116</v>
      </c>
      <c r="AN107" s="87">
        <v>241</v>
      </c>
      <c r="AO107" s="87">
        <v>0</v>
      </c>
      <c r="AP107" s="87">
        <v>115</v>
      </c>
      <c r="AQ107" s="87">
        <v>115</v>
      </c>
      <c r="AR107" s="87">
        <v>115</v>
      </c>
      <c r="AS107" s="87">
        <v>230</v>
      </c>
      <c r="AT107" s="87">
        <v>0</v>
      </c>
      <c r="AU107" s="87">
        <v>115</v>
      </c>
      <c r="AV107" s="87">
        <v>116</v>
      </c>
      <c r="AW107" s="87">
        <v>116</v>
      </c>
      <c r="AX107" s="87"/>
      <c r="AY107" s="88">
        <f t="shared" si="35"/>
        <v>1395</v>
      </c>
      <c r="AZ107" s="88">
        <v>1500</v>
      </c>
      <c r="BA107" s="88">
        <v>1400</v>
      </c>
      <c r="BB107" s="89"/>
    </row>
    <row r="108" spans="1:54" x14ac:dyDescent="0.3">
      <c r="A108" s="50"/>
      <c r="B108" s="50"/>
      <c r="C108" s="50"/>
      <c r="D108" s="50"/>
      <c r="E108" s="50"/>
      <c r="F108" s="50"/>
      <c r="G108" s="50" t="s">
        <v>149</v>
      </c>
      <c r="H108" s="51">
        <v>287.19</v>
      </c>
      <c r="I108" s="51">
        <v>277.58999999999997</v>
      </c>
      <c r="J108" s="51">
        <v>296</v>
      </c>
      <c r="K108" s="51">
        <v>391.54</v>
      </c>
      <c r="L108" s="51">
        <v>266.11</v>
      </c>
      <c r="M108" s="51">
        <v>294.98</v>
      </c>
      <c r="N108" s="51">
        <v>436.26</v>
      </c>
      <c r="O108" s="51">
        <v>30.18</v>
      </c>
      <c r="P108" s="51">
        <v>26.68</v>
      </c>
      <c r="Q108" s="51">
        <v>428.65</v>
      </c>
      <c r="R108" s="51">
        <v>287.55</v>
      </c>
      <c r="S108" s="51">
        <v>270.11</v>
      </c>
      <c r="T108" s="51"/>
      <c r="U108" s="51">
        <f t="shared" si="34"/>
        <v>3292.84</v>
      </c>
      <c r="V108" s="67">
        <v>4100</v>
      </c>
      <c r="W108" s="67">
        <v>4100</v>
      </c>
      <c r="AB108" s="86"/>
      <c r="AC108" s="86"/>
      <c r="AD108" s="86"/>
      <c r="AE108" s="86"/>
      <c r="AF108" s="86"/>
      <c r="AG108" s="86" t="s">
        <v>149</v>
      </c>
      <c r="AH108" s="87"/>
      <c r="AI108" s="87"/>
      <c r="AJ108" s="87"/>
      <c r="AK108" s="87"/>
      <c r="AL108" s="87">
        <v>278.04000000000002</v>
      </c>
      <c r="AM108" s="87">
        <v>270.92</v>
      </c>
      <c r="AN108" s="87">
        <v>259.54000000000002</v>
      </c>
      <c r="AO108" s="87">
        <v>435.49</v>
      </c>
      <c r="AP108" s="87">
        <v>221.98</v>
      </c>
      <c r="AQ108" s="87">
        <v>279.07</v>
      </c>
      <c r="AR108" s="87">
        <v>425.18</v>
      </c>
      <c r="AS108" s="87">
        <v>276.11</v>
      </c>
      <c r="AT108" s="87">
        <v>276.11</v>
      </c>
      <c r="AU108" s="87">
        <v>463.17</v>
      </c>
      <c r="AV108" s="87">
        <v>370.92</v>
      </c>
      <c r="AW108" s="87">
        <v>400.19</v>
      </c>
      <c r="AX108" s="87"/>
      <c r="AY108" s="88">
        <f t="shared" si="35"/>
        <v>3956.72</v>
      </c>
      <c r="AZ108" s="88">
        <v>4200</v>
      </c>
      <c r="BA108" s="88">
        <v>4100</v>
      </c>
      <c r="BB108" s="89"/>
    </row>
    <row r="109" spans="1:54" x14ac:dyDescent="0.3">
      <c r="A109" s="50"/>
      <c r="B109" s="50"/>
      <c r="C109" s="50"/>
      <c r="D109" s="50"/>
      <c r="E109" s="50"/>
      <c r="F109" s="50"/>
      <c r="G109" s="50" t="s">
        <v>150</v>
      </c>
      <c r="H109" s="51">
        <v>0</v>
      </c>
      <c r="I109" s="51">
        <v>0</v>
      </c>
      <c r="J109" s="51">
        <v>0</v>
      </c>
      <c r="K109" s="51">
        <v>9900</v>
      </c>
      <c r="L109" s="51">
        <v>0</v>
      </c>
      <c r="M109" s="51">
        <v>0</v>
      </c>
      <c r="N109" s="51">
        <v>1100</v>
      </c>
      <c r="O109" s="51">
        <v>0</v>
      </c>
      <c r="P109" s="51">
        <v>0</v>
      </c>
      <c r="Q109" s="51">
        <v>0</v>
      </c>
      <c r="R109" s="51">
        <v>0</v>
      </c>
      <c r="S109" s="51">
        <v>0</v>
      </c>
      <c r="T109" s="51"/>
      <c r="U109" s="51">
        <f t="shared" si="34"/>
        <v>11000</v>
      </c>
      <c r="V109" s="67">
        <v>11000</v>
      </c>
      <c r="W109" s="67">
        <v>10500</v>
      </c>
      <c r="AB109" s="86"/>
      <c r="AC109" s="86"/>
      <c r="AD109" s="86"/>
      <c r="AE109" s="86"/>
      <c r="AF109" s="86"/>
      <c r="AG109" s="86" t="s">
        <v>150</v>
      </c>
      <c r="AH109" s="87"/>
      <c r="AI109" s="87"/>
      <c r="AJ109" s="87"/>
      <c r="AK109" s="87"/>
      <c r="AL109" s="87">
        <v>0</v>
      </c>
      <c r="AM109" s="87">
        <v>8240</v>
      </c>
      <c r="AN109" s="87">
        <v>2060</v>
      </c>
      <c r="AO109" s="87">
        <v>0</v>
      </c>
      <c r="AP109" s="87">
        <v>0</v>
      </c>
      <c r="AQ109" s="87">
        <v>0</v>
      </c>
      <c r="AR109" s="87">
        <v>0</v>
      </c>
      <c r="AS109" s="87">
        <v>0</v>
      </c>
      <c r="AT109" s="87">
        <v>0</v>
      </c>
      <c r="AU109" s="87">
        <v>0</v>
      </c>
      <c r="AV109" s="87">
        <v>0</v>
      </c>
      <c r="AW109" s="87">
        <v>0</v>
      </c>
      <c r="AX109" s="87"/>
      <c r="AY109" s="88">
        <f t="shared" si="35"/>
        <v>10300</v>
      </c>
      <c r="AZ109" s="88">
        <v>12000</v>
      </c>
      <c r="BA109" s="88">
        <v>11000</v>
      </c>
      <c r="BB109" s="89"/>
    </row>
    <row r="110" spans="1:54" x14ac:dyDescent="0.3">
      <c r="A110" s="50"/>
      <c r="B110" s="50"/>
      <c r="C110" s="50"/>
      <c r="D110" s="50"/>
      <c r="E110" s="50"/>
      <c r="F110" s="50"/>
      <c r="G110" s="50" t="s">
        <v>151</v>
      </c>
      <c r="H110" s="51">
        <v>770</v>
      </c>
      <c r="I110" s="51">
        <v>1017.5</v>
      </c>
      <c r="J110" s="51">
        <v>1540</v>
      </c>
      <c r="K110" s="51">
        <v>0</v>
      </c>
      <c r="L110" s="51">
        <v>1045</v>
      </c>
      <c r="M110" s="51">
        <v>247.5</v>
      </c>
      <c r="N110" s="51">
        <v>805</v>
      </c>
      <c r="O110" s="51">
        <v>488.75</v>
      </c>
      <c r="P110" s="51">
        <v>690</v>
      </c>
      <c r="Q110" s="51">
        <v>718.75</v>
      </c>
      <c r="R110" s="51">
        <v>575</v>
      </c>
      <c r="S110" s="51">
        <f>115*8</f>
        <v>920</v>
      </c>
      <c r="T110" s="51"/>
      <c r="U110" s="51">
        <f t="shared" si="34"/>
        <v>8817.5</v>
      </c>
      <c r="V110" s="67">
        <v>9500</v>
      </c>
      <c r="W110" s="67">
        <v>9500</v>
      </c>
      <c r="AB110" s="86"/>
      <c r="AC110" s="86"/>
      <c r="AD110" s="86"/>
      <c r="AE110" s="86"/>
      <c r="AF110" s="86"/>
      <c r="AG110" s="86" t="s">
        <v>151</v>
      </c>
      <c r="AH110" s="87"/>
      <c r="AI110" s="87"/>
      <c r="AJ110" s="87"/>
      <c r="AK110" s="87"/>
      <c r="AL110" s="87">
        <v>1023.75</v>
      </c>
      <c r="AM110" s="87">
        <v>1102.5</v>
      </c>
      <c r="AN110" s="87">
        <v>1155</v>
      </c>
      <c r="AO110" s="87">
        <v>551.25</v>
      </c>
      <c r="AP110" s="87">
        <v>813.75</v>
      </c>
      <c r="AQ110" s="87">
        <v>341.25</v>
      </c>
      <c r="AR110" s="87">
        <v>446.25</v>
      </c>
      <c r="AS110" s="87">
        <v>632.5</v>
      </c>
      <c r="AT110" s="87">
        <v>797.5</v>
      </c>
      <c r="AU110" s="87">
        <v>972.9</v>
      </c>
      <c r="AV110" s="87">
        <v>813.75</v>
      </c>
      <c r="AW110" s="87">
        <v>971.25</v>
      </c>
      <c r="AX110" s="87"/>
      <c r="AY110" s="88">
        <f t="shared" si="35"/>
        <v>9621.65</v>
      </c>
      <c r="AZ110" s="88">
        <v>8500</v>
      </c>
      <c r="BA110" s="88">
        <v>9500</v>
      </c>
      <c r="BB110" s="89" t="s">
        <v>248</v>
      </c>
    </row>
    <row r="111" spans="1:54" x14ac:dyDescent="0.3">
      <c r="A111" s="50"/>
      <c r="B111" s="50"/>
      <c r="C111" s="50"/>
      <c r="D111" s="50"/>
      <c r="E111" s="50"/>
      <c r="F111" s="50"/>
      <c r="G111" s="50" t="s">
        <v>200</v>
      </c>
      <c r="H111" s="51">
        <v>0</v>
      </c>
      <c r="I111" s="51">
        <v>0</v>
      </c>
      <c r="J111" s="51">
        <v>0</v>
      </c>
      <c r="K111" s="51">
        <v>0</v>
      </c>
      <c r="L111" s="51">
        <v>0</v>
      </c>
      <c r="M111" s="51">
        <v>0</v>
      </c>
      <c r="N111" s="51">
        <v>0</v>
      </c>
      <c r="O111" s="51">
        <v>0</v>
      </c>
      <c r="P111" s="51">
        <v>0</v>
      </c>
      <c r="Q111" s="51">
        <v>0</v>
      </c>
      <c r="R111" s="51">
        <v>0</v>
      </c>
      <c r="S111" s="51">
        <v>0</v>
      </c>
      <c r="T111" s="51"/>
      <c r="U111" s="51">
        <v>0</v>
      </c>
      <c r="V111" s="67">
        <v>9000</v>
      </c>
      <c r="W111" s="67">
        <v>9000</v>
      </c>
      <c r="AB111" s="86"/>
      <c r="AC111" s="86"/>
      <c r="AD111" s="86"/>
      <c r="AE111" s="86"/>
      <c r="AF111" s="86"/>
      <c r="AG111" s="86" t="s">
        <v>200</v>
      </c>
      <c r="AH111" s="87"/>
      <c r="AI111" s="87"/>
      <c r="AJ111" s="87"/>
      <c r="AK111" s="87"/>
      <c r="AL111" s="87">
        <v>0</v>
      </c>
      <c r="AM111" s="87">
        <v>0</v>
      </c>
      <c r="AN111" s="87">
        <v>0</v>
      </c>
      <c r="AO111" s="87">
        <v>0</v>
      </c>
      <c r="AP111" s="87">
        <v>0</v>
      </c>
      <c r="AQ111" s="87">
        <v>0</v>
      </c>
      <c r="AR111" s="87">
        <v>0</v>
      </c>
      <c r="AS111" s="87">
        <v>0</v>
      </c>
      <c r="AT111" s="87">
        <v>0</v>
      </c>
      <c r="AU111" s="87">
        <v>0</v>
      </c>
      <c r="AV111" s="87">
        <v>0</v>
      </c>
      <c r="AW111" s="87">
        <v>0</v>
      </c>
      <c r="AX111" s="87"/>
      <c r="AY111" s="88">
        <f t="shared" si="35"/>
        <v>0</v>
      </c>
      <c r="AZ111" s="88">
        <v>9000</v>
      </c>
      <c r="BA111" s="88">
        <v>9000</v>
      </c>
      <c r="BB111" s="89"/>
    </row>
    <row r="112" spans="1:54" x14ac:dyDescent="0.3">
      <c r="A112" s="50"/>
      <c r="B112" s="50"/>
      <c r="C112" s="50"/>
      <c r="D112" s="50"/>
      <c r="E112" s="50"/>
      <c r="F112" s="50"/>
      <c r="G112" s="50" t="s">
        <v>233</v>
      </c>
      <c r="H112" s="51">
        <v>0</v>
      </c>
      <c r="I112" s="51">
        <v>0</v>
      </c>
      <c r="J112" s="51">
        <v>0</v>
      </c>
      <c r="K112" s="51">
        <v>0</v>
      </c>
      <c r="L112" s="51">
        <v>375</v>
      </c>
      <c r="M112" s="51">
        <v>0</v>
      </c>
      <c r="N112" s="51">
        <v>0</v>
      </c>
      <c r="O112" s="51">
        <v>0</v>
      </c>
      <c r="P112" s="51">
        <v>0</v>
      </c>
      <c r="Q112" s="51">
        <v>0</v>
      </c>
      <c r="R112" s="51">
        <v>0</v>
      </c>
      <c r="S112" s="51">
        <v>0</v>
      </c>
      <c r="T112" s="51"/>
      <c r="U112" s="51">
        <f t="shared" si="34"/>
        <v>375</v>
      </c>
      <c r="V112" s="67">
        <v>400</v>
      </c>
      <c r="W112" s="67">
        <v>400</v>
      </c>
      <c r="AB112" s="86"/>
      <c r="AC112" s="86"/>
      <c r="AD112" s="86"/>
      <c r="AE112" s="86"/>
      <c r="AF112" s="86"/>
      <c r="AG112" s="86" t="s">
        <v>233</v>
      </c>
      <c r="AH112" s="87"/>
      <c r="AI112" s="87"/>
      <c r="AJ112" s="87"/>
      <c r="AK112" s="87"/>
      <c r="AL112" s="87">
        <v>0</v>
      </c>
      <c r="AM112" s="87">
        <v>0</v>
      </c>
      <c r="AN112" s="87">
        <v>0</v>
      </c>
      <c r="AO112" s="87">
        <v>0</v>
      </c>
      <c r="AP112" s="87">
        <v>0</v>
      </c>
      <c r="AQ112" s="87">
        <v>0</v>
      </c>
      <c r="AR112" s="87">
        <v>375</v>
      </c>
      <c r="AS112" s="87">
        <v>0</v>
      </c>
      <c r="AT112" s="87">
        <v>0</v>
      </c>
      <c r="AU112" s="87">
        <v>0</v>
      </c>
      <c r="AV112" s="87">
        <v>0</v>
      </c>
      <c r="AW112" s="87">
        <v>0</v>
      </c>
      <c r="AX112" s="87"/>
      <c r="AY112" s="88">
        <f t="shared" si="35"/>
        <v>375</v>
      </c>
      <c r="AZ112" s="88">
        <v>200</v>
      </c>
      <c r="BA112" s="88">
        <v>400</v>
      </c>
      <c r="BB112" s="89" t="s">
        <v>250</v>
      </c>
    </row>
    <row r="113" spans="1:54" x14ac:dyDescent="0.3">
      <c r="A113" s="50"/>
      <c r="B113" s="50"/>
      <c r="C113" s="50"/>
      <c r="D113" s="50"/>
      <c r="E113" s="50"/>
      <c r="F113" s="50"/>
      <c r="G113" s="50" t="s">
        <v>152</v>
      </c>
      <c r="H113" s="51">
        <v>435</v>
      </c>
      <c r="I113" s="51">
        <v>0</v>
      </c>
      <c r="J113" s="51">
        <v>1275</v>
      </c>
      <c r="K113" s="51">
        <v>315</v>
      </c>
      <c r="L113" s="51">
        <v>420</v>
      </c>
      <c r="M113" s="51">
        <v>300</v>
      </c>
      <c r="N113" s="51">
        <v>360</v>
      </c>
      <c r="O113" s="51">
        <v>435</v>
      </c>
      <c r="P113" s="51">
        <v>0</v>
      </c>
      <c r="Q113" s="51">
        <v>525</v>
      </c>
      <c r="R113" s="51">
        <v>0</v>
      </c>
      <c r="S113" s="51">
        <v>1350</v>
      </c>
      <c r="T113" s="51"/>
      <c r="U113" s="51">
        <f t="shared" si="34"/>
        <v>5415</v>
      </c>
      <c r="V113" s="67">
        <v>30000</v>
      </c>
      <c r="W113" s="67">
        <v>30000</v>
      </c>
      <c r="AB113" s="86"/>
      <c r="AC113" s="86"/>
      <c r="AD113" s="86"/>
      <c r="AE113" s="86"/>
      <c r="AF113" s="86"/>
      <c r="AG113" s="86" t="s">
        <v>152</v>
      </c>
      <c r="AH113" s="87"/>
      <c r="AI113" s="87"/>
      <c r="AJ113" s="87"/>
      <c r="AK113" s="87"/>
      <c r="AL113" s="87">
        <v>540</v>
      </c>
      <c r="AM113" s="87">
        <v>60</v>
      </c>
      <c r="AN113" s="87">
        <v>0</v>
      </c>
      <c r="AO113" s="87">
        <v>0</v>
      </c>
      <c r="AP113" s="87">
        <v>650</v>
      </c>
      <c r="AQ113" s="87">
        <v>1360</v>
      </c>
      <c r="AR113" s="87">
        <v>170</v>
      </c>
      <c r="AS113" s="87">
        <v>60</v>
      </c>
      <c r="AT113" s="87">
        <v>1700</v>
      </c>
      <c r="AU113" s="87">
        <v>0</v>
      </c>
      <c r="AV113" s="87">
        <v>1245</v>
      </c>
      <c r="AW113" s="87">
        <v>1215</v>
      </c>
      <c r="AX113" s="87"/>
      <c r="AY113" s="88">
        <f t="shared" si="35"/>
        <v>7000</v>
      </c>
      <c r="AZ113" s="88">
        <v>30000</v>
      </c>
      <c r="BA113" s="88">
        <v>30000</v>
      </c>
      <c r="BB113" s="89" t="s">
        <v>251</v>
      </c>
    </row>
    <row r="114" spans="1:54" x14ac:dyDescent="0.3">
      <c r="A114" s="50"/>
      <c r="B114" s="50"/>
      <c r="C114" s="50"/>
      <c r="D114" s="50"/>
      <c r="E114" s="50"/>
      <c r="F114" s="50"/>
      <c r="G114" s="50" t="s">
        <v>153</v>
      </c>
      <c r="H114" s="51">
        <v>445.33</v>
      </c>
      <c r="I114" s="51">
        <v>445.33</v>
      </c>
      <c r="J114" s="51">
        <v>445.33</v>
      </c>
      <c r="K114" s="51">
        <v>365.4</v>
      </c>
      <c r="L114" s="51">
        <v>365.4</v>
      </c>
      <c r="M114" s="51">
        <v>365.4</v>
      </c>
      <c r="N114" s="51">
        <v>365.4</v>
      </c>
      <c r="O114" s="51">
        <v>445.33</v>
      </c>
      <c r="P114" s="51">
        <v>445.33</v>
      </c>
      <c r="Q114" s="51">
        <v>445.33</v>
      </c>
      <c r="R114" s="51">
        <v>445.33</v>
      </c>
      <c r="S114" s="51">
        <v>445.33</v>
      </c>
      <c r="T114" s="51"/>
      <c r="U114" s="51">
        <f t="shared" si="34"/>
        <v>5024.24</v>
      </c>
      <c r="V114" s="67">
        <v>5400</v>
      </c>
      <c r="W114" s="115">
        <v>5400</v>
      </c>
      <c r="AB114" s="86"/>
      <c r="AC114" s="86"/>
      <c r="AD114" s="86"/>
      <c r="AE114" s="86"/>
      <c r="AF114" s="86"/>
      <c r="AG114" s="86" t="s">
        <v>153</v>
      </c>
      <c r="AH114" s="87"/>
      <c r="AI114" s="87"/>
      <c r="AJ114" s="87"/>
      <c r="AK114" s="87"/>
      <c r="AL114" s="87">
        <v>445.33</v>
      </c>
      <c r="AM114" s="87">
        <v>445.33</v>
      </c>
      <c r="AN114" s="87">
        <v>445.33</v>
      </c>
      <c r="AO114" s="87">
        <v>365.4</v>
      </c>
      <c r="AP114" s="87">
        <v>365.4</v>
      </c>
      <c r="AQ114" s="87">
        <v>365.4</v>
      </c>
      <c r="AR114" s="87">
        <v>445.33</v>
      </c>
      <c r="AS114" s="87">
        <v>445.33</v>
      </c>
      <c r="AT114" s="87">
        <v>445.33</v>
      </c>
      <c r="AU114" s="87">
        <v>445.33</v>
      </c>
      <c r="AV114" s="87">
        <v>445.33</v>
      </c>
      <c r="AW114" s="87">
        <v>445.33</v>
      </c>
      <c r="AX114" s="87"/>
      <c r="AY114" s="88">
        <f t="shared" si="35"/>
        <v>5104.17</v>
      </c>
      <c r="AZ114" s="88">
        <v>5400</v>
      </c>
      <c r="BA114" s="88">
        <v>5400</v>
      </c>
      <c r="BB114" s="89"/>
    </row>
    <row r="115" spans="1:54" x14ac:dyDescent="0.3">
      <c r="A115" s="50"/>
      <c r="B115" s="50"/>
      <c r="C115" s="50"/>
      <c r="D115" s="50"/>
      <c r="E115" s="50"/>
      <c r="F115" s="50"/>
      <c r="G115" s="50" t="s">
        <v>154</v>
      </c>
      <c r="H115" s="51">
        <v>0</v>
      </c>
      <c r="I115" s="51">
        <v>0</v>
      </c>
      <c r="J115" s="51">
        <v>0</v>
      </c>
      <c r="K115" s="51">
        <v>0</v>
      </c>
      <c r="L115" s="51">
        <v>0</v>
      </c>
      <c r="M115" s="51">
        <v>266</v>
      </c>
      <c r="N115" s="51">
        <v>0</v>
      </c>
      <c r="O115" s="51">
        <v>0</v>
      </c>
      <c r="P115" s="51">
        <v>28</v>
      </c>
      <c r="Q115" s="51">
        <v>0</v>
      </c>
      <c r="R115" s="51">
        <v>0</v>
      </c>
      <c r="S115" s="51">
        <v>0</v>
      </c>
      <c r="T115" s="51"/>
      <c r="U115" s="51">
        <f t="shared" si="34"/>
        <v>294</v>
      </c>
      <c r="V115" s="67">
        <v>1800</v>
      </c>
      <c r="W115" s="67">
        <v>1800</v>
      </c>
      <c r="AB115" s="86"/>
      <c r="AC115" s="86"/>
      <c r="AD115" s="86"/>
      <c r="AE115" s="86"/>
      <c r="AF115" s="86"/>
      <c r="AG115" s="86" t="s">
        <v>154</v>
      </c>
      <c r="AH115" s="87"/>
      <c r="AI115" s="87"/>
      <c r="AJ115" s="87"/>
      <c r="AK115" s="87"/>
      <c r="AL115" s="87">
        <v>0</v>
      </c>
      <c r="AM115" s="87">
        <v>0</v>
      </c>
      <c r="AN115" s="87">
        <v>384</v>
      </c>
      <c r="AO115" s="87">
        <v>0</v>
      </c>
      <c r="AP115" s="87">
        <v>469.18</v>
      </c>
      <c r="AQ115" s="87">
        <v>103.23</v>
      </c>
      <c r="AR115" s="87">
        <v>0</v>
      </c>
      <c r="AS115" s="87">
        <v>0</v>
      </c>
      <c r="AT115" s="87">
        <v>0</v>
      </c>
      <c r="AU115" s="87">
        <v>0</v>
      </c>
      <c r="AV115" s="87">
        <v>0</v>
      </c>
      <c r="AW115" s="87">
        <v>0</v>
      </c>
      <c r="AX115" s="87"/>
      <c r="AY115" s="88">
        <f t="shared" si="35"/>
        <v>956.41</v>
      </c>
      <c r="AZ115" s="88">
        <v>1800</v>
      </c>
      <c r="BA115" s="88">
        <v>1800</v>
      </c>
      <c r="BB115" s="89"/>
    </row>
    <row r="116" spans="1:54" x14ac:dyDescent="0.3">
      <c r="A116" s="50"/>
      <c r="B116" s="50"/>
      <c r="C116" s="50"/>
      <c r="D116" s="50"/>
      <c r="E116" s="50"/>
      <c r="F116" s="50"/>
      <c r="G116" s="50" t="s">
        <v>238</v>
      </c>
      <c r="H116" s="51">
        <v>0</v>
      </c>
      <c r="I116" s="51">
        <v>0</v>
      </c>
      <c r="J116" s="51">
        <v>0</v>
      </c>
      <c r="K116" s="51">
        <v>0</v>
      </c>
      <c r="L116" s="51">
        <v>0</v>
      </c>
      <c r="M116" s="51">
        <v>0</v>
      </c>
      <c r="N116" s="51">
        <v>0</v>
      </c>
      <c r="O116" s="51">
        <v>0</v>
      </c>
      <c r="P116" s="51">
        <v>0</v>
      </c>
      <c r="Q116" s="51">
        <v>0</v>
      </c>
      <c r="R116" s="51">
        <v>0</v>
      </c>
      <c r="S116" s="51">
        <v>0</v>
      </c>
      <c r="T116" s="51"/>
      <c r="U116" s="51">
        <v>0</v>
      </c>
      <c r="V116" s="67">
        <v>300</v>
      </c>
      <c r="W116" s="67">
        <v>300</v>
      </c>
      <c r="AB116" s="86"/>
      <c r="AC116" s="86"/>
      <c r="AD116" s="86"/>
      <c r="AE116" s="86"/>
      <c r="AF116" s="86"/>
      <c r="AG116" s="86" t="s">
        <v>238</v>
      </c>
      <c r="AH116" s="87"/>
      <c r="AI116" s="87"/>
      <c r="AJ116" s="87"/>
      <c r="AK116" s="87"/>
      <c r="AL116" s="87">
        <v>0</v>
      </c>
      <c r="AM116" s="87">
        <v>0</v>
      </c>
      <c r="AN116" s="87">
        <v>0</v>
      </c>
      <c r="AO116" s="87">
        <v>0</v>
      </c>
      <c r="AP116" s="87">
        <v>0</v>
      </c>
      <c r="AQ116" s="87">
        <v>0</v>
      </c>
      <c r="AR116" s="87">
        <v>0</v>
      </c>
      <c r="AS116" s="87">
        <v>0</v>
      </c>
      <c r="AT116" s="87">
        <v>0</v>
      </c>
      <c r="AU116" s="87">
        <v>0</v>
      </c>
      <c r="AV116" s="87">
        <v>0</v>
      </c>
      <c r="AW116" s="87">
        <v>0</v>
      </c>
      <c r="AX116" s="87"/>
      <c r="AY116" s="88">
        <f t="shared" si="35"/>
        <v>0</v>
      </c>
      <c r="AZ116" s="88">
        <v>250</v>
      </c>
      <c r="BA116" s="88">
        <v>300</v>
      </c>
      <c r="BB116" s="89"/>
    </row>
    <row r="117" spans="1:54" x14ac:dyDescent="0.3">
      <c r="A117" s="50"/>
      <c r="B117" s="50"/>
      <c r="C117" s="50"/>
      <c r="D117" s="50"/>
      <c r="E117" s="50"/>
      <c r="F117" s="50"/>
      <c r="G117" s="50" t="s">
        <v>155</v>
      </c>
      <c r="H117" s="51">
        <v>0</v>
      </c>
      <c r="I117" s="51">
        <v>365</v>
      </c>
      <c r="J117" s="51">
        <v>0</v>
      </c>
      <c r="K117" s="51">
        <v>0</v>
      </c>
      <c r="L117" s="51">
        <v>0</v>
      </c>
      <c r="M117" s="51">
        <v>0</v>
      </c>
      <c r="N117" s="51">
        <v>219</v>
      </c>
      <c r="O117" s="51">
        <v>0</v>
      </c>
      <c r="P117" s="51">
        <v>0</v>
      </c>
      <c r="Q117" s="51">
        <v>0</v>
      </c>
      <c r="R117" s="51">
        <v>0</v>
      </c>
      <c r="S117" s="51">
        <v>0</v>
      </c>
      <c r="T117" s="51"/>
      <c r="U117" s="51">
        <f t="shared" si="34"/>
        <v>584</v>
      </c>
      <c r="V117" s="67">
        <v>2500</v>
      </c>
      <c r="W117" s="67">
        <v>2500</v>
      </c>
      <c r="AB117" s="86"/>
      <c r="AC117" s="86"/>
      <c r="AD117" s="86"/>
      <c r="AE117" s="86"/>
      <c r="AF117" s="86"/>
      <c r="AG117" s="86" t="s">
        <v>155</v>
      </c>
      <c r="AH117" s="87"/>
      <c r="AI117" s="87"/>
      <c r="AJ117" s="87"/>
      <c r="AK117" s="87"/>
      <c r="AL117" s="87">
        <v>0</v>
      </c>
      <c r="AM117" s="87">
        <v>0</v>
      </c>
      <c r="AN117" s="87">
        <v>0</v>
      </c>
      <c r="AO117" s="87">
        <v>0</v>
      </c>
      <c r="AP117" s="87">
        <v>0</v>
      </c>
      <c r="AQ117" s="87">
        <v>0</v>
      </c>
      <c r="AR117" s="87">
        <v>0</v>
      </c>
      <c r="AS117" s="87">
        <v>0</v>
      </c>
      <c r="AT117" s="87">
        <v>0</v>
      </c>
      <c r="AU117" s="87">
        <v>0</v>
      </c>
      <c r="AV117" s="87">
        <v>63</v>
      </c>
      <c r="AW117" s="87">
        <v>0</v>
      </c>
      <c r="AX117" s="87"/>
      <c r="AY117" s="88">
        <f t="shared" si="35"/>
        <v>63</v>
      </c>
      <c r="AZ117" s="88">
        <v>2500</v>
      </c>
      <c r="BA117" s="88">
        <v>2500</v>
      </c>
      <c r="BB117" s="89"/>
    </row>
    <row r="118" spans="1:54" x14ac:dyDescent="0.3">
      <c r="A118" s="50"/>
      <c r="B118" s="50"/>
      <c r="C118" s="50"/>
      <c r="D118" s="50"/>
      <c r="E118" s="50"/>
      <c r="F118" s="50"/>
      <c r="G118" s="50" t="s">
        <v>156</v>
      </c>
      <c r="H118" s="51">
        <v>13.59</v>
      </c>
      <c r="I118" s="51">
        <v>1982.42</v>
      </c>
      <c r="J118" s="51">
        <v>1019.56</v>
      </c>
      <c r="K118" s="51">
        <v>0</v>
      </c>
      <c r="L118" s="51">
        <v>0</v>
      </c>
      <c r="M118" s="51">
        <v>0</v>
      </c>
      <c r="N118" s="51">
        <v>700</v>
      </c>
      <c r="O118" s="51">
        <v>0</v>
      </c>
      <c r="P118" s="51">
        <v>0</v>
      </c>
      <c r="Q118" s="51">
        <v>0</v>
      </c>
      <c r="R118" s="51">
        <v>0</v>
      </c>
      <c r="S118" s="51">
        <v>15</v>
      </c>
      <c r="T118" s="51"/>
      <c r="U118" s="51">
        <f t="shared" si="34"/>
        <v>3730.57</v>
      </c>
      <c r="V118" s="67">
        <v>30000</v>
      </c>
      <c r="W118" s="67">
        <v>30000</v>
      </c>
      <c r="AB118" s="86"/>
      <c r="AC118" s="86"/>
      <c r="AD118" s="86"/>
      <c r="AE118" s="86"/>
      <c r="AF118" s="86"/>
      <c r="AG118" s="86" t="s">
        <v>156</v>
      </c>
      <c r="AH118" s="87"/>
      <c r="AI118" s="87"/>
      <c r="AJ118" s="87"/>
      <c r="AK118" s="87"/>
      <c r="AL118" s="87">
        <v>0</v>
      </c>
      <c r="AM118" s="87">
        <v>378</v>
      </c>
      <c r="AN118" s="87">
        <v>425</v>
      </c>
      <c r="AO118" s="87">
        <v>0</v>
      </c>
      <c r="AP118" s="87">
        <v>100</v>
      </c>
      <c r="AQ118" s="87">
        <v>0</v>
      </c>
      <c r="AR118" s="87">
        <v>99</v>
      </c>
      <c r="AS118" s="87">
        <v>-100</v>
      </c>
      <c r="AT118" s="87">
        <v>0</v>
      </c>
      <c r="AU118" s="87">
        <v>0</v>
      </c>
      <c r="AV118" s="87">
        <v>0</v>
      </c>
      <c r="AW118" s="87">
        <v>0</v>
      </c>
      <c r="AX118" s="87"/>
      <c r="AY118" s="88">
        <f t="shared" si="35"/>
        <v>902</v>
      </c>
      <c r="AZ118" s="88">
        <v>30000</v>
      </c>
      <c r="BA118" s="88">
        <v>30000</v>
      </c>
      <c r="BB118" s="89" t="s">
        <v>251</v>
      </c>
    </row>
    <row r="119" spans="1:54" x14ac:dyDescent="0.3">
      <c r="A119" s="50"/>
      <c r="B119" s="50"/>
      <c r="C119" s="50"/>
      <c r="D119" s="50"/>
      <c r="E119" s="50"/>
      <c r="F119" s="50"/>
      <c r="G119" s="50" t="s">
        <v>157</v>
      </c>
      <c r="H119" s="51">
        <v>321.43</v>
      </c>
      <c r="I119" s="51">
        <v>48.7</v>
      </c>
      <c r="J119" s="51">
        <v>56.42</v>
      </c>
      <c r="K119" s="51">
        <v>42.97</v>
      </c>
      <c r="L119" s="51">
        <v>0</v>
      </c>
      <c r="M119" s="51">
        <v>141.88</v>
      </c>
      <c r="N119" s="51">
        <v>101.79</v>
      </c>
      <c r="O119" s="51">
        <v>0</v>
      </c>
      <c r="P119" s="51">
        <v>317.31</v>
      </c>
      <c r="Q119" s="51">
        <v>153.86000000000001</v>
      </c>
      <c r="R119" s="51">
        <v>0</v>
      </c>
      <c r="S119" s="51">
        <v>150</v>
      </c>
      <c r="T119" s="51"/>
      <c r="U119" s="51">
        <f t="shared" si="34"/>
        <v>1334.36</v>
      </c>
      <c r="V119" s="67">
        <v>2000</v>
      </c>
      <c r="W119" s="67">
        <v>2000</v>
      </c>
      <c r="AB119" s="86"/>
      <c r="AC119" s="86"/>
      <c r="AD119" s="86"/>
      <c r="AE119" s="86"/>
      <c r="AF119" s="86"/>
      <c r="AG119" s="86" t="s">
        <v>157</v>
      </c>
      <c r="AH119" s="87"/>
      <c r="AI119" s="87"/>
      <c r="AJ119" s="87"/>
      <c r="AK119" s="87"/>
      <c r="AL119" s="87">
        <v>0</v>
      </c>
      <c r="AM119" s="87">
        <v>75.34</v>
      </c>
      <c r="AN119" s="87">
        <v>66.03</v>
      </c>
      <c r="AO119" s="87">
        <v>100.89</v>
      </c>
      <c r="AP119" s="87">
        <v>0</v>
      </c>
      <c r="AQ119" s="87">
        <v>0</v>
      </c>
      <c r="AR119" s="87">
        <v>43.21</v>
      </c>
      <c r="AS119" s="87">
        <v>147.96</v>
      </c>
      <c r="AT119" s="87">
        <v>64.540000000000006</v>
      </c>
      <c r="AU119" s="87">
        <v>0</v>
      </c>
      <c r="AV119" s="87">
        <v>0</v>
      </c>
      <c r="AW119" s="87">
        <v>45.66</v>
      </c>
      <c r="AX119" s="87"/>
      <c r="AY119" s="88">
        <f t="shared" si="35"/>
        <v>543.63</v>
      </c>
      <c r="AZ119" s="88">
        <v>2000</v>
      </c>
      <c r="BA119" s="88">
        <v>2000</v>
      </c>
      <c r="BB119" s="89"/>
    </row>
    <row r="120" spans="1:54" x14ac:dyDescent="0.3">
      <c r="A120" s="50"/>
      <c r="B120" s="50"/>
      <c r="C120" s="50"/>
      <c r="D120" s="50"/>
      <c r="E120" s="50"/>
      <c r="F120" s="50"/>
      <c r="G120" s="50" t="s">
        <v>158</v>
      </c>
      <c r="H120" s="51">
        <v>0</v>
      </c>
      <c r="I120" s="51">
        <v>0</v>
      </c>
      <c r="J120" s="51">
        <v>0</v>
      </c>
      <c r="K120" s="51">
        <v>800</v>
      </c>
      <c r="L120" s="51">
        <v>0</v>
      </c>
      <c r="M120" s="51">
        <v>2292.25</v>
      </c>
      <c r="N120" s="51">
        <v>0</v>
      </c>
      <c r="O120" s="51">
        <v>0</v>
      </c>
      <c r="P120" s="51">
        <v>0</v>
      </c>
      <c r="Q120" s="51">
        <v>0</v>
      </c>
      <c r="R120" s="51">
        <v>0</v>
      </c>
      <c r="S120" s="51">
        <v>0</v>
      </c>
      <c r="T120" s="51"/>
      <c r="U120" s="51">
        <f t="shared" si="34"/>
        <v>3092.25</v>
      </c>
      <c r="V120" s="67">
        <v>5000</v>
      </c>
      <c r="W120" s="67">
        <v>5000</v>
      </c>
      <c r="AB120" s="86"/>
      <c r="AC120" s="86"/>
      <c r="AD120" s="86"/>
      <c r="AE120" s="86"/>
      <c r="AF120" s="86"/>
      <c r="AG120" s="86" t="s">
        <v>158</v>
      </c>
      <c r="AH120" s="87"/>
      <c r="AI120" s="87"/>
      <c r="AJ120" s="87"/>
      <c r="AK120" s="87"/>
      <c r="AL120" s="87">
        <v>0</v>
      </c>
      <c r="AM120" s="87">
        <v>0</v>
      </c>
      <c r="AN120" s="87">
        <v>0</v>
      </c>
      <c r="AO120" s="87">
        <v>0</v>
      </c>
      <c r="AP120" s="87">
        <v>0</v>
      </c>
      <c r="AQ120" s="87">
        <v>275.2</v>
      </c>
      <c r="AR120" s="87">
        <v>0</v>
      </c>
      <c r="AS120" s="87">
        <v>0</v>
      </c>
      <c r="AT120" s="87">
        <v>0</v>
      </c>
      <c r="AU120" s="87">
        <v>0</v>
      </c>
      <c r="AV120" s="87">
        <v>0</v>
      </c>
      <c r="AW120" s="87">
        <v>0</v>
      </c>
      <c r="AX120" s="87"/>
      <c r="AY120" s="88">
        <f t="shared" si="35"/>
        <v>275.2</v>
      </c>
      <c r="AZ120" s="88">
        <v>5000</v>
      </c>
      <c r="BA120" s="88">
        <v>5000</v>
      </c>
      <c r="BB120" s="89"/>
    </row>
    <row r="121" spans="1:54" x14ac:dyDescent="0.3">
      <c r="A121" s="50"/>
      <c r="B121" s="50"/>
      <c r="C121" s="50"/>
      <c r="D121" s="50"/>
      <c r="E121" s="50"/>
      <c r="F121" s="50"/>
      <c r="G121" s="50" t="s">
        <v>159</v>
      </c>
      <c r="H121" s="51">
        <v>0</v>
      </c>
      <c r="I121" s="51">
        <v>0.45</v>
      </c>
      <c r="J121" s="51">
        <v>0</v>
      </c>
      <c r="K121" s="51">
        <v>0</v>
      </c>
      <c r="L121" s="51">
        <v>0</v>
      </c>
      <c r="M121" s="51">
        <v>0</v>
      </c>
      <c r="N121" s="51">
        <v>0</v>
      </c>
      <c r="O121" s="51">
        <v>0</v>
      </c>
      <c r="P121" s="51">
        <v>0</v>
      </c>
      <c r="Q121" s="51">
        <v>0</v>
      </c>
      <c r="R121" s="51">
        <v>0</v>
      </c>
      <c r="S121" s="51">
        <v>0</v>
      </c>
      <c r="T121" s="51"/>
      <c r="U121" s="51">
        <f t="shared" si="34"/>
        <v>0.45</v>
      </c>
      <c r="V121" s="67">
        <v>2500</v>
      </c>
      <c r="W121" s="67">
        <v>2500</v>
      </c>
      <c r="AB121" s="86"/>
      <c r="AC121" s="86"/>
      <c r="AD121" s="86"/>
      <c r="AE121" s="86"/>
      <c r="AF121" s="86"/>
      <c r="AG121" s="86" t="s">
        <v>159</v>
      </c>
      <c r="AH121" s="87"/>
      <c r="AI121" s="87"/>
      <c r="AJ121" s="87"/>
      <c r="AK121" s="87"/>
      <c r="AL121" s="87">
        <v>66.88</v>
      </c>
      <c r="AM121" s="87">
        <v>157.94</v>
      </c>
      <c r="AN121" s="87">
        <v>166.05</v>
      </c>
      <c r="AO121" s="87">
        <v>0</v>
      </c>
      <c r="AP121" s="87">
        <v>0</v>
      </c>
      <c r="AQ121" s="87">
        <v>0</v>
      </c>
      <c r="AR121" s="87">
        <v>0</v>
      </c>
      <c r="AS121" s="87">
        <v>0</v>
      </c>
      <c r="AT121" s="87">
        <v>248.76</v>
      </c>
      <c r="AU121" s="87">
        <v>0</v>
      </c>
      <c r="AV121" s="87">
        <v>127.06</v>
      </c>
      <c r="AW121" s="87">
        <v>76.099999999999994</v>
      </c>
      <c r="AX121" s="87"/>
      <c r="AY121" s="88">
        <f t="shared" si="35"/>
        <v>842.79</v>
      </c>
      <c r="AZ121" s="88">
        <v>2500</v>
      </c>
      <c r="BA121" s="88">
        <v>2500</v>
      </c>
      <c r="BB121" s="89"/>
    </row>
    <row r="122" spans="1:54" x14ac:dyDescent="0.3">
      <c r="A122" s="50"/>
      <c r="B122" s="50"/>
      <c r="C122" s="50"/>
      <c r="D122" s="50"/>
      <c r="E122" s="50"/>
      <c r="F122" s="50"/>
      <c r="G122" s="50" t="s">
        <v>160</v>
      </c>
      <c r="H122" s="51">
        <v>50</v>
      </c>
      <c r="I122" s="51">
        <v>100</v>
      </c>
      <c r="J122" s="51">
        <v>50</v>
      </c>
      <c r="K122" s="51">
        <v>50</v>
      </c>
      <c r="L122" s="51">
        <v>50</v>
      </c>
      <c r="M122" s="51">
        <v>50</v>
      </c>
      <c r="N122" s="51">
        <v>0</v>
      </c>
      <c r="O122" s="51">
        <v>50</v>
      </c>
      <c r="P122" s="51">
        <v>50</v>
      </c>
      <c r="Q122" s="51">
        <v>50</v>
      </c>
      <c r="R122" s="51">
        <v>50</v>
      </c>
      <c r="S122" s="51">
        <v>50</v>
      </c>
      <c r="T122" s="51"/>
      <c r="U122" s="51">
        <f t="shared" si="34"/>
        <v>600</v>
      </c>
      <c r="V122" s="67">
        <v>800</v>
      </c>
      <c r="W122" s="67">
        <v>800</v>
      </c>
      <c r="AB122" s="86"/>
      <c r="AC122" s="86"/>
      <c r="AD122" s="86"/>
      <c r="AE122" s="86"/>
      <c r="AF122" s="86"/>
      <c r="AG122" s="86" t="s">
        <v>160</v>
      </c>
      <c r="AH122" s="87"/>
      <c r="AI122" s="87"/>
      <c r="AJ122" s="87"/>
      <c r="AK122" s="87"/>
      <c r="AL122" s="87">
        <v>50</v>
      </c>
      <c r="AM122" s="87">
        <v>50</v>
      </c>
      <c r="AN122" s="87">
        <v>0</v>
      </c>
      <c r="AO122" s="87">
        <v>0</v>
      </c>
      <c r="AP122" s="87">
        <v>150</v>
      </c>
      <c r="AQ122" s="87">
        <v>100</v>
      </c>
      <c r="AR122" s="87">
        <v>50</v>
      </c>
      <c r="AS122" s="87">
        <v>0</v>
      </c>
      <c r="AT122" s="87">
        <v>0</v>
      </c>
      <c r="AU122" s="87">
        <v>50</v>
      </c>
      <c r="AV122" s="87">
        <v>50</v>
      </c>
      <c r="AW122" s="87">
        <v>50</v>
      </c>
      <c r="AX122" s="87"/>
      <c r="AY122" s="88">
        <f t="shared" si="35"/>
        <v>550</v>
      </c>
      <c r="AZ122" s="88">
        <v>800</v>
      </c>
      <c r="BA122" s="88">
        <v>800</v>
      </c>
      <c r="BB122" s="89"/>
    </row>
    <row r="123" spans="1:54" ht="15" thickBot="1" x14ac:dyDescent="0.35">
      <c r="A123" s="50"/>
      <c r="B123" s="50"/>
      <c r="C123" s="50"/>
      <c r="D123" s="50"/>
      <c r="E123" s="50"/>
      <c r="F123" s="50"/>
      <c r="G123" s="50" t="s">
        <v>161</v>
      </c>
      <c r="H123" s="52">
        <v>0</v>
      </c>
      <c r="I123" s="52">
        <v>183.75</v>
      </c>
      <c r="J123" s="52">
        <v>35.770000000000003</v>
      </c>
      <c r="K123" s="52">
        <v>103.47</v>
      </c>
      <c r="L123" s="52">
        <v>67.41</v>
      </c>
      <c r="M123" s="52">
        <v>128.22</v>
      </c>
      <c r="N123" s="52">
        <v>24.99</v>
      </c>
      <c r="O123" s="52">
        <v>83.79</v>
      </c>
      <c r="P123" s="52">
        <v>108.78</v>
      </c>
      <c r="Q123" s="52">
        <v>122.76</v>
      </c>
      <c r="R123" s="52">
        <v>0</v>
      </c>
      <c r="S123" s="52">
        <v>250</v>
      </c>
      <c r="T123" s="52"/>
      <c r="U123" s="52">
        <f t="shared" si="34"/>
        <v>1108.94</v>
      </c>
      <c r="V123" s="69">
        <v>1600</v>
      </c>
      <c r="W123" s="69">
        <v>1600</v>
      </c>
      <c r="AB123" s="86"/>
      <c r="AC123" s="86"/>
      <c r="AD123" s="86"/>
      <c r="AE123" s="86"/>
      <c r="AF123" s="86"/>
      <c r="AG123" s="86" t="s">
        <v>161</v>
      </c>
      <c r="AH123" s="90"/>
      <c r="AI123" s="90"/>
      <c r="AJ123" s="90"/>
      <c r="AK123" s="90"/>
      <c r="AL123" s="90">
        <v>135.31</v>
      </c>
      <c r="AM123" s="90">
        <v>0</v>
      </c>
      <c r="AN123" s="90">
        <v>93.71</v>
      </c>
      <c r="AO123" s="90">
        <v>72.73</v>
      </c>
      <c r="AP123" s="90">
        <v>304.77999999999997</v>
      </c>
      <c r="AQ123" s="90">
        <v>41.26</v>
      </c>
      <c r="AR123" s="90">
        <v>24.99</v>
      </c>
      <c r="AS123" s="90">
        <v>87.21</v>
      </c>
      <c r="AT123" s="90">
        <v>51.92</v>
      </c>
      <c r="AU123" s="90">
        <v>91.27</v>
      </c>
      <c r="AV123" s="90">
        <v>51.85</v>
      </c>
      <c r="AW123" s="90">
        <v>209.36</v>
      </c>
      <c r="AX123" s="90"/>
      <c r="AY123" s="91">
        <f t="shared" si="35"/>
        <v>1164.3900000000001</v>
      </c>
      <c r="AZ123" s="91">
        <v>1600</v>
      </c>
      <c r="BA123" s="91">
        <v>1600</v>
      </c>
      <c r="BB123" s="92"/>
    </row>
    <row r="124" spans="1:54" x14ac:dyDescent="0.3">
      <c r="A124" s="50"/>
      <c r="B124" s="50"/>
      <c r="C124" s="50"/>
      <c r="D124" s="50"/>
      <c r="E124" s="50"/>
      <c r="F124" s="50" t="s">
        <v>162</v>
      </c>
      <c r="G124" s="50"/>
      <c r="H124" s="51">
        <f t="shared" ref="H124:S124" si="36">ROUND(SUM(H92:H123),5)</f>
        <v>4493.18</v>
      </c>
      <c r="I124" s="51">
        <f t="shared" si="36"/>
        <v>7609.06</v>
      </c>
      <c r="J124" s="51">
        <f t="shared" si="36"/>
        <v>8331.69</v>
      </c>
      <c r="K124" s="51">
        <f t="shared" si="36"/>
        <v>17856.61</v>
      </c>
      <c r="L124" s="51">
        <f t="shared" si="36"/>
        <v>7525.12</v>
      </c>
      <c r="M124" s="51">
        <f t="shared" si="36"/>
        <v>7691.51</v>
      </c>
      <c r="N124" s="51">
        <f t="shared" si="36"/>
        <v>7263.43</v>
      </c>
      <c r="O124" s="51">
        <f t="shared" si="36"/>
        <v>4806.33</v>
      </c>
      <c r="P124" s="51">
        <f t="shared" si="36"/>
        <v>5613.65</v>
      </c>
      <c r="Q124" s="51">
        <f t="shared" si="36"/>
        <v>6859.47</v>
      </c>
      <c r="R124" s="51">
        <f t="shared" si="36"/>
        <v>3953.63</v>
      </c>
      <c r="S124" s="51">
        <f t="shared" si="36"/>
        <v>8530.7999999999993</v>
      </c>
      <c r="T124" s="51"/>
      <c r="U124" s="51">
        <f t="shared" si="34"/>
        <v>90534.48</v>
      </c>
      <c r="V124" s="51">
        <f>ROUND(SUM(V92:V123),5)</f>
        <v>172150</v>
      </c>
      <c r="W124" s="51">
        <f>ROUND(SUM(W92:W123),5)</f>
        <v>177950</v>
      </c>
      <c r="AB124" s="86"/>
      <c r="AC124" s="86"/>
      <c r="AD124" s="86"/>
      <c r="AE124" s="86"/>
      <c r="AF124" s="86" t="s">
        <v>162</v>
      </c>
      <c r="AG124" s="86"/>
      <c r="AH124" s="87"/>
      <c r="AI124" s="87"/>
      <c r="AJ124" s="87"/>
      <c r="AK124" s="87"/>
      <c r="AL124" s="87">
        <f t="shared" ref="AL124:AW124" si="37">ROUND(SUM(AL92:AL123),5)</f>
        <v>4929.17</v>
      </c>
      <c r="AM124" s="87">
        <f t="shared" si="37"/>
        <v>14242.92</v>
      </c>
      <c r="AN124" s="87">
        <f t="shared" si="37"/>
        <v>8152.11</v>
      </c>
      <c r="AO124" s="87">
        <f t="shared" si="37"/>
        <v>4982.71</v>
      </c>
      <c r="AP124" s="87">
        <f t="shared" si="37"/>
        <v>6733.26</v>
      </c>
      <c r="AQ124" s="87">
        <f t="shared" si="37"/>
        <v>7174.94</v>
      </c>
      <c r="AR124" s="87">
        <f t="shared" si="37"/>
        <v>5153.53</v>
      </c>
      <c r="AS124" s="87">
        <f t="shared" si="37"/>
        <v>4437.3500000000004</v>
      </c>
      <c r="AT124" s="87">
        <f t="shared" si="37"/>
        <v>6705.44</v>
      </c>
      <c r="AU124" s="87">
        <f t="shared" si="37"/>
        <v>6301.27</v>
      </c>
      <c r="AV124" s="87">
        <f t="shared" si="37"/>
        <v>6681.79</v>
      </c>
      <c r="AW124" s="87">
        <f t="shared" si="37"/>
        <v>8959.83</v>
      </c>
      <c r="AX124" s="87"/>
      <c r="AY124" s="88">
        <f t="shared" si="35"/>
        <v>84454.32</v>
      </c>
      <c r="AZ124" s="88">
        <f>ROUND(SUM(AZ92:AZ123),5)</f>
        <v>171350</v>
      </c>
      <c r="BA124" s="88">
        <f>ROUND(SUM(BA92:BA123),5)</f>
        <v>172150</v>
      </c>
      <c r="BB124" s="89"/>
    </row>
    <row r="125" spans="1:54" x14ac:dyDescent="0.3">
      <c r="A125" s="50"/>
      <c r="B125" s="50"/>
      <c r="C125" s="50"/>
      <c r="D125" s="50"/>
      <c r="E125" s="50"/>
      <c r="F125" s="50"/>
      <c r="G125" s="50"/>
      <c r="H125" s="51"/>
      <c r="I125" s="51"/>
      <c r="J125" s="51"/>
      <c r="K125" s="51"/>
      <c r="L125" s="51"/>
      <c r="M125" s="51"/>
      <c r="N125" s="51"/>
      <c r="O125" s="51"/>
      <c r="P125" s="51"/>
      <c r="Q125" s="51"/>
      <c r="R125" s="51"/>
      <c r="S125" s="51"/>
      <c r="T125" s="51"/>
      <c r="U125" s="51"/>
      <c r="V125" s="51"/>
      <c r="W125" s="51"/>
      <c r="AB125" s="86"/>
      <c r="AC125" s="86"/>
      <c r="AD125" s="86"/>
      <c r="AE125" s="86"/>
      <c r="AF125" s="86"/>
      <c r="AG125" s="86"/>
      <c r="AH125" s="87"/>
      <c r="AI125" s="87"/>
      <c r="AJ125" s="87"/>
      <c r="AK125" s="87"/>
      <c r="AL125" s="87"/>
      <c r="AM125" s="87"/>
      <c r="AN125" s="87"/>
      <c r="AO125" s="87"/>
      <c r="AP125" s="87"/>
      <c r="AQ125" s="87"/>
      <c r="AR125" s="87"/>
      <c r="AS125" s="87"/>
      <c r="AT125" s="87"/>
      <c r="AU125" s="87"/>
      <c r="AV125" s="87"/>
      <c r="AW125" s="87"/>
      <c r="AX125" s="87"/>
      <c r="AY125" s="88"/>
      <c r="AZ125" s="88"/>
      <c r="BA125" s="88"/>
      <c r="BB125" s="89"/>
    </row>
    <row r="126" spans="1:54" x14ac:dyDescent="0.3">
      <c r="A126" s="50"/>
      <c r="B126" s="50"/>
      <c r="C126" s="50"/>
      <c r="D126" s="50"/>
      <c r="E126" s="50"/>
      <c r="F126" s="50"/>
      <c r="G126" s="50"/>
      <c r="H126" s="51"/>
      <c r="I126" s="51"/>
      <c r="J126" s="51"/>
      <c r="K126" s="51"/>
      <c r="L126" s="51"/>
      <c r="M126" s="51"/>
      <c r="N126" s="51"/>
      <c r="O126" s="51"/>
      <c r="P126" s="51"/>
      <c r="Q126" s="51"/>
      <c r="R126" s="51"/>
      <c r="S126" s="51"/>
      <c r="T126" s="51"/>
      <c r="U126" s="51"/>
      <c r="V126" s="51"/>
      <c r="W126" s="51"/>
      <c r="AB126" s="86"/>
      <c r="AC126" s="86"/>
      <c r="AD126" s="86"/>
      <c r="AE126" s="86"/>
      <c r="AF126" s="86"/>
      <c r="AG126" s="86"/>
      <c r="AH126" s="87"/>
      <c r="AI126" s="87"/>
      <c r="AJ126" s="87"/>
      <c r="AK126" s="87"/>
      <c r="AL126" s="87"/>
      <c r="AM126" s="87"/>
      <c r="AN126" s="87"/>
      <c r="AO126" s="87"/>
      <c r="AP126" s="87"/>
      <c r="AQ126" s="87"/>
      <c r="AR126" s="87"/>
      <c r="AS126" s="87"/>
      <c r="AT126" s="87"/>
      <c r="AU126" s="87"/>
      <c r="AV126" s="87"/>
      <c r="AW126" s="87"/>
      <c r="AX126" s="87"/>
      <c r="AY126" s="88"/>
      <c r="AZ126" s="88"/>
      <c r="BA126" s="88"/>
      <c r="BB126" s="89"/>
    </row>
    <row r="127" spans="1:54" x14ac:dyDescent="0.3">
      <c r="A127" s="50"/>
      <c r="B127" s="50"/>
      <c r="C127" s="50"/>
      <c r="D127" s="50"/>
      <c r="E127" s="50"/>
      <c r="F127" s="50"/>
      <c r="G127" s="50"/>
      <c r="H127" s="51"/>
      <c r="I127" s="51"/>
      <c r="J127" s="51"/>
      <c r="K127" s="51"/>
      <c r="L127" s="51"/>
      <c r="M127" s="51"/>
      <c r="N127" s="51"/>
      <c r="O127" s="51"/>
      <c r="P127" s="51"/>
      <c r="Q127" s="51"/>
      <c r="R127" s="51"/>
      <c r="S127" s="51"/>
      <c r="T127" s="51"/>
      <c r="U127" s="51"/>
      <c r="V127" s="51"/>
      <c r="W127" s="51"/>
      <c r="AB127" s="86"/>
      <c r="AC127" s="86"/>
      <c r="AD127" s="86"/>
      <c r="AE127" s="86"/>
      <c r="AF127" s="86"/>
      <c r="AG127" s="86"/>
      <c r="AH127" s="87"/>
      <c r="AI127" s="87"/>
      <c r="AJ127" s="87"/>
      <c r="AK127" s="87"/>
      <c r="AL127" s="87"/>
      <c r="AM127" s="87"/>
      <c r="AN127" s="87"/>
      <c r="AO127" s="87"/>
      <c r="AP127" s="87"/>
      <c r="AQ127" s="87"/>
      <c r="AR127" s="87"/>
      <c r="AS127" s="87"/>
      <c r="AT127" s="87"/>
      <c r="AU127" s="87"/>
      <c r="AV127" s="87"/>
      <c r="AW127" s="87"/>
      <c r="AX127" s="87"/>
      <c r="AY127" s="88"/>
      <c r="AZ127" s="88"/>
      <c r="BA127" s="88"/>
      <c r="BB127" s="89"/>
    </row>
    <row r="128" spans="1:54" x14ac:dyDescent="0.3">
      <c r="A128" s="50"/>
      <c r="B128" s="50"/>
      <c r="C128" s="50"/>
      <c r="D128" s="50"/>
      <c r="E128" s="50"/>
      <c r="F128" s="50"/>
      <c r="G128" s="50"/>
      <c r="H128" s="51"/>
      <c r="I128" s="51"/>
      <c r="J128" s="51"/>
      <c r="K128" s="51"/>
      <c r="L128" s="51"/>
      <c r="M128" s="51"/>
      <c r="N128" s="51"/>
      <c r="O128" s="51"/>
      <c r="P128" s="51"/>
      <c r="Q128" s="51"/>
      <c r="R128" s="51"/>
      <c r="S128" s="51"/>
      <c r="T128" s="51"/>
      <c r="U128" s="51"/>
      <c r="V128" s="51"/>
      <c r="W128" s="51"/>
      <c r="AB128" s="86"/>
      <c r="AC128" s="86"/>
      <c r="AD128" s="86"/>
      <c r="AE128" s="86"/>
      <c r="AF128" s="86"/>
      <c r="AG128" s="86"/>
      <c r="AH128" s="87"/>
      <c r="AI128" s="87"/>
      <c r="AJ128" s="87"/>
      <c r="AK128" s="87"/>
      <c r="AL128" s="87"/>
      <c r="AM128" s="87"/>
      <c r="AN128" s="87"/>
      <c r="AO128" s="87"/>
      <c r="AP128" s="87"/>
      <c r="AQ128" s="87"/>
      <c r="AR128" s="87"/>
      <c r="AS128" s="87"/>
      <c r="AT128" s="87"/>
      <c r="AU128" s="87"/>
      <c r="AV128" s="87"/>
      <c r="AW128" s="87"/>
      <c r="AX128" s="87"/>
      <c r="AY128" s="88"/>
      <c r="AZ128" s="88"/>
      <c r="BA128" s="88"/>
      <c r="BB128" s="89"/>
    </row>
    <row r="129" spans="1:54" x14ac:dyDescent="0.3">
      <c r="A129" s="50"/>
      <c r="B129" s="50"/>
      <c r="C129" s="50"/>
      <c r="D129" s="50"/>
      <c r="E129" s="50"/>
      <c r="F129" s="50"/>
      <c r="G129" s="50"/>
      <c r="H129" s="51"/>
      <c r="I129" s="51"/>
      <c r="J129" s="51"/>
      <c r="K129" s="51"/>
      <c r="L129" s="51"/>
      <c r="M129" s="51"/>
      <c r="N129" s="51"/>
      <c r="O129" s="51"/>
      <c r="P129" s="51"/>
      <c r="Q129" s="51"/>
      <c r="R129" s="51"/>
      <c r="S129" s="51"/>
      <c r="T129" s="51"/>
      <c r="U129" s="51"/>
      <c r="V129" s="51"/>
      <c r="W129" s="51"/>
      <c r="AB129" s="86"/>
      <c r="AC129" s="86"/>
      <c r="AD129" s="86"/>
      <c r="AE129" s="86"/>
      <c r="AF129" s="86"/>
      <c r="AG129" s="86"/>
      <c r="AH129" s="87"/>
      <c r="AI129" s="87"/>
      <c r="AJ129" s="87"/>
      <c r="AK129" s="87"/>
      <c r="AL129" s="87"/>
      <c r="AM129" s="87"/>
      <c r="AN129" s="87"/>
      <c r="AO129" s="87"/>
      <c r="AP129" s="87"/>
      <c r="AQ129" s="87"/>
      <c r="AR129" s="87"/>
      <c r="AS129" s="87"/>
      <c r="AT129" s="87"/>
      <c r="AU129" s="87"/>
      <c r="AV129" s="87"/>
      <c r="AW129" s="87"/>
      <c r="AX129" s="87"/>
      <c r="AY129" s="88"/>
      <c r="AZ129" s="88"/>
      <c r="BA129" s="88"/>
      <c r="BB129" s="89"/>
    </row>
    <row r="130" spans="1:54" x14ac:dyDescent="0.3">
      <c r="A130" s="50"/>
      <c r="B130" s="50"/>
      <c r="C130" s="50"/>
      <c r="D130" s="50"/>
      <c r="E130" s="50"/>
      <c r="F130" s="50"/>
      <c r="G130" s="50"/>
      <c r="H130" s="51"/>
      <c r="I130" s="51"/>
      <c r="J130" s="51"/>
      <c r="K130" s="51"/>
      <c r="L130" s="51"/>
      <c r="M130" s="51"/>
      <c r="N130" s="51"/>
      <c r="O130" s="51"/>
      <c r="P130" s="51"/>
      <c r="Q130" s="51"/>
      <c r="R130" s="51"/>
      <c r="S130" s="51"/>
      <c r="T130" s="51"/>
      <c r="U130" s="51"/>
      <c r="V130" s="51"/>
      <c r="W130" s="51"/>
      <c r="AB130" s="86"/>
      <c r="AC130" s="86"/>
      <c r="AD130" s="86"/>
      <c r="AE130" s="86"/>
      <c r="AF130" s="86"/>
      <c r="AG130" s="86"/>
      <c r="AH130" s="87"/>
      <c r="AI130" s="87"/>
      <c r="AJ130" s="87"/>
      <c r="AK130" s="87"/>
      <c r="AL130" s="87"/>
      <c r="AM130" s="87"/>
      <c r="AN130" s="87"/>
      <c r="AO130" s="87"/>
      <c r="AP130" s="87"/>
      <c r="AQ130" s="87"/>
      <c r="AR130" s="87"/>
      <c r="AS130" s="87"/>
      <c r="AT130" s="87"/>
      <c r="AU130" s="87"/>
      <c r="AV130" s="87"/>
      <c r="AW130" s="87"/>
      <c r="AX130" s="87"/>
      <c r="AY130" s="88"/>
      <c r="AZ130" s="88"/>
      <c r="BA130" s="88"/>
      <c r="BB130" s="89"/>
    </row>
    <row r="131" spans="1:54" x14ac:dyDescent="0.3">
      <c r="A131" s="50"/>
      <c r="B131" s="50"/>
      <c r="C131" s="50"/>
      <c r="D131" s="50"/>
      <c r="E131" s="50"/>
      <c r="F131" s="50"/>
      <c r="G131" s="50"/>
      <c r="H131" s="51"/>
      <c r="I131" s="51"/>
      <c r="J131" s="51"/>
      <c r="K131" s="51"/>
      <c r="L131" s="51"/>
      <c r="M131" s="51"/>
      <c r="N131" s="51"/>
      <c r="O131" s="51"/>
      <c r="P131" s="51"/>
      <c r="Q131" s="51"/>
      <c r="R131" s="51"/>
      <c r="S131" s="51"/>
      <c r="T131" s="51"/>
      <c r="U131" s="51"/>
      <c r="V131" s="51"/>
      <c r="W131" s="51"/>
      <c r="AB131" s="86"/>
      <c r="AC131" s="86"/>
      <c r="AD131" s="86"/>
      <c r="AE131" s="86"/>
      <c r="AF131" s="86"/>
      <c r="AG131" s="86"/>
      <c r="AH131" s="87"/>
      <c r="AI131" s="87"/>
      <c r="AJ131" s="87"/>
      <c r="AK131" s="87"/>
      <c r="AL131" s="87"/>
      <c r="AM131" s="87"/>
      <c r="AN131" s="87"/>
      <c r="AO131" s="87"/>
      <c r="AP131" s="87"/>
      <c r="AQ131" s="87"/>
      <c r="AR131" s="87"/>
      <c r="AS131" s="87"/>
      <c r="AT131" s="87"/>
      <c r="AU131" s="87"/>
      <c r="AV131" s="87"/>
      <c r="AW131" s="87"/>
      <c r="AX131" s="87"/>
      <c r="AY131" s="88"/>
      <c r="AZ131" s="88"/>
      <c r="BA131" s="88"/>
      <c r="BB131" s="89"/>
    </row>
    <row r="132" spans="1:54" x14ac:dyDescent="0.3">
      <c r="A132" s="50"/>
      <c r="B132" s="50"/>
      <c r="C132" s="50"/>
      <c r="D132" s="50"/>
      <c r="E132" s="50"/>
      <c r="F132" s="50"/>
      <c r="G132" s="50"/>
      <c r="H132" s="51"/>
      <c r="I132" s="51"/>
      <c r="J132" s="51"/>
      <c r="K132" s="51"/>
      <c r="L132" s="51"/>
      <c r="M132" s="51"/>
      <c r="N132" s="51"/>
      <c r="O132" s="51"/>
      <c r="P132" s="51"/>
      <c r="Q132" s="51"/>
      <c r="R132" s="51"/>
      <c r="S132" s="51"/>
      <c r="T132" s="51"/>
      <c r="U132" s="51"/>
      <c r="V132" s="51"/>
      <c r="W132" s="51"/>
      <c r="AB132" s="86"/>
      <c r="AC132" s="86"/>
      <c r="AD132" s="86"/>
      <c r="AE132" s="86"/>
      <c r="AF132" s="86"/>
      <c r="AG132" s="86"/>
      <c r="AH132" s="87"/>
      <c r="AI132" s="87"/>
      <c r="AJ132" s="87"/>
      <c r="AK132" s="87"/>
      <c r="AL132" s="87"/>
      <c r="AM132" s="87"/>
      <c r="AN132" s="87"/>
      <c r="AO132" s="87"/>
      <c r="AP132" s="87"/>
      <c r="AQ132" s="87"/>
      <c r="AR132" s="87"/>
      <c r="AS132" s="87"/>
      <c r="AT132" s="87"/>
      <c r="AU132" s="87"/>
      <c r="AV132" s="87"/>
      <c r="AW132" s="87"/>
      <c r="AX132" s="87"/>
      <c r="AY132" s="88"/>
      <c r="AZ132" s="88"/>
      <c r="BA132" s="88"/>
      <c r="BB132" s="89"/>
    </row>
    <row r="133" spans="1:54" x14ac:dyDescent="0.3">
      <c r="A133" s="50"/>
      <c r="B133" s="50"/>
      <c r="C133" s="50"/>
      <c r="D133" s="50"/>
      <c r="E133" s="50"/>
      <c r="F133" s="50"/>
      <c r="G133" s="50"/>
      <c r="H133" s="51"/>
      <c r="I133" s="51"/>
      <c r="J133" s="51"/>
      <c r="K133" s="51"/>
      <c r="L133" s="51"/>
      <c r="M133" s="51"/>
      <c r="N133" s="51"/>
      <c r="O133" s="51"/>
      <c r="P133" s="51"/>
      <c r="Q133" s="51"/>
      <c r="R133" s="51"/>
      <c r="S133" s="51"/>
      <c r="T133" s="51"/>
      <c r="U133" s="51"/>
      <c r="V133" s="51"/>
      <c r="W133" s="51"/>
      <c r="AB133" s="86"/>
      <c r="AC133" s="86"/>
      <c r="AD133" s="86"/>
      <c r="AE133" s="86"/>
      <c r="AF133" s="86"/>
      <c r="AG133" s="86"/>
      <c r="AH133" s="87"/>
      <c r="AI133" s="87"/>
      <c r="AJ133" s="87"/>
      <c r="AK133" s="87"/>
      <c r="AL133" s="87"/>
      <c r="AM133" s="87"/>
      <c r="AN133" s="87"/>
      <c r="AO133" s="87"/>
      <c r="AP133" s="87"/>
      <c r="AQ133" s="87"/>
      <c r="AR133" s="87"/>
      <c r="AS133" s="87"/>
      <c r="AT133" s="87"/>
      <c r="AU133" s="87"/>
      <c r="AV133" s="87"/>
      <c r="AW133" s="87"/>
      <c r="AX133" s="87"/>
      <c r="AY133" s="88"/>
      <c r="AZ133" s="88"/>
      <c r="BA133" s="88"/>
      <c r="BB133" s="89"/>
    </row>
    <row r="134" spans="1:54" x14ac:dyDescent="0.3">
      <c r="A134" s="50"/>
      <c r="B134" s="50"/>
      <c r="C134" s="50"/>
      <c r="D134" s="50"/>
      <c r="E134" s="50"/>
      <c r="F134" s="50"/>
      <c r="G134" s="50"/>
      <c r="H134" s="51"/>
      <c r="I134" s="51"/>
      <c r="J134" s="51"/>
      <c r="K134" s="51"/>
      <c r="L134" s="51"/>
      <c r="M134" s="51"/>
      <c r="N134" s="51"/>
      <c r="O134" s="51"/>
      <c r="P134" s="51"/>
      <c r="Q134" s="51"/>
      <c r="R134" s="51"/>
      <c r="S134" s="51"/>
      <c r="T134" s="51"/>
      <c r="U134" s="51"/>
      <c r="V134" s="51"/>
      <c r="W134" s="51"/>
      <c r="AB134" s="86"/>
      <c r="AC134" s="86"/>
      <c r="AD134" s="86"/>
      <c r="AE134" s="86"/>
      <c r="AF134" s="86"/>
      <c r="AG134" s="86"/>
      <c r="AH134" s="87"/>
      <c r="AI134" s="87"/>
      <c r="AJ134" s="87"/>
      <c r="AK134" s="87"/>
      <c r="AL134" s="87"/>
      <c r="AM134" s="87"/>
      <c r="AN134" s="87"/>
      <c r="AO134" s="87"/>
      <c r="AP134" s="87"/>
      <c r="AQ134" s="87"/>
      <c r="AR134" s="87"/>
      <c r="AS134" s="87"/>
      <c r="AT134" s="87"/>
      <c r="AU134" s="87"/>
      <c r="AV134" s="87"/>
      <c r="AW134" s="87"/>
      <c r="AX134" s="87"/>
      <c r="AY134" s="88"/>
      <c r="AZ134" s="88"/>
      <c r="BA134" s="88"/>
      <c r="BB134" s="89"/>
    </row>
    <row r="135" spans="1:54" x14ac:dyDescent="0.3">
      <c r="A135" s="50"/>
      <c r="B135" s="50"/>
      <c r="C135" s="50"/>
      <c r="D135" s="50"/>
      <c r="E135" s="50"/>
      <c r="F135" s="50"/>
      <c r="G135" s="50"/>
      <c r="H135" s="51"/>
      <c r="I135" s="51"/>
      <c r="J135" s="51"/>
      <c r="K135" s="51"/>
      <c r="L135" s="51"/>
      <c r="M135" s="51"/>
      <c r="N135" s="51"/>
      <c r="O135" s="51"/>
      <c r="P135" s="51"/>
      <c r="Q135" s="51"/>
      <c r="R135" s="51"/>
      <c r="S135" s="51"/>
      <c r="T135" s="51"/>
      <c r="U135" s="51"/>
      <c r="V135" s="51"/>
      <c r="W135" s="51"/>
      <c r="AB135" s="86"/>
      <c r="AC135" s="86"/>
      <c r="AD135" s="86"/>
      <c r="AE135" s="86"/>
      <c r="AF135" s="86"/>
      <c r="AG135" s="86"/>
      <c r="AH135" s="87"/>
      <c r="AI135" s="87"/>
      <c r="AJ135" s="87"/>
      <c r="AK135" s="87"/>
      <c r="AL135" s="87"/>
      <c r="AM135" s="87"/>
      <c r="AN135" s="87"/>
      <c r="AO135" s="87"/>
      <c r="AP135" s="87"/>
      <c r="AQ135" s="87"/>
      <c r="AR135" s="87"/>
      <c r="AS135" s="87"/>
      <c r="AT135" s="87"/>
      <c r="AU135" s="87"/>
      <c r="AV135" s="87"/>
      <c r="AW135" s="87"/>
      <c r="AX135" s="87"/>
      <c r="AY135" s="88"/>
      <c r="AZ135" s="88"/>
      <c r="BA135" s="88"/>
      <c r="BB135" s="89"/>
    </row>
    <row r="136" spans="1:54" x14ac:dyDescent="0.3">
      <c r="A136" s="50"/>
      <c r="B136" s="50"/>
      <c r="C136" s="50"/>
      <c r="D136" s="50"/>
      <c r="E136" s="50"/>
      <c r="F136" s="50" t="s">
        <v>163</v>
      </c>
      <c r="G136" s="50"/>
      <c r="H136" s="51"/>
      <c r="I136" s="51"/>
      <c r="J136" s="51"/>
      <c r="K136" s="51"/>
      <c r="L136" s="51"/>
      <c r="M136" s="51"/>
      <c r="N136" s="51"/>
      <c r="O136" s="51"/>
      <c r="P136" s="51"/>
      <c r="Q136" s="51"/>
      <c r="R136" s="51"/>
      <c r="S136" s="51"/>
      <c r="T136" s="51"/>
      <c r="U136" s="51"/>
      <c r="V136" s="51"/>
      <c r="W136" s="51"/>
      <c r="AB136" s="86"/>
      <c r="AC136" s="86"/>
      <c r="AD136" s="86"/>
      <c r="AE136" s="86"/>
      <c r="AF136" s="86" t="s">
        <v>163</v>
      </c>
      <c r="AG136" s="86"/>
      <c r="AH136" s="87"/>
      <c r="AI136" s="87"/>
      <c r="AJ136" s="87"/>
      <c r="AK136" s="87"/>
      <c r="AL136" s="87"/>
      <c r="AM136" s="87"/>
      <c r="AN136" s="87"/>
      <c r="AO136" s="87"/>
      <c r="AP136" s="87"/>
      <c r="AQ136" s="87"/>
      <c r="AR136" s="87"/>
      <c r="AS136" s="87"/>
      <c r="AT136" s="87"/>
      <c r="AU136" s="87"/>
      <c r="AV136" s="87"/>
      <c r="AW136" s="87"/>
      <c r="AX136" s="87"/>
      <c r="AY136" s="88"/>
      <c r="AZ136" s="88"/>
      <c r="BA136" s="88"/>
      <c r="BB136" s="89"/>
    </row>
    <row r="137" spans="1:54" x14ac:dyDescent="0.3">
      <c r="A137" s="50"/>
      <c r="B137" s="50"/>
      <c r="C137" s="50"/>
      <c r="D137" s="50"/>
      <c r="E137" s="50"/>
      <c r="F137" s="50"/>
      <c r="G137" s="50" t="s">
        <v>164</v>
      </c>
      <c r="H137" s="51">
        <v>1792.61</v>
      </c>
      <c r="I137" s="51">
        <v>0</v>
      </c>
      <c r="J137" s="51">
        <v>0</v>
      </c>
      <c r="K137" s="51">
        <v>387.88</v>
      </c>
      <c r="L137" s="51">
        <f>2523.37-1900</f>
        <v>623.36999999999989</v>
      </c>
      <c r="M137" s="51">
        <v>2521.58</v>
      </c>
      <c r="N137" s="51">
        <v>2451.31</v>
      </c>
      <c r="O137" s="51">
        <v>0</v>
      </c>
      <c r="P137" s="51">
        <v>223.58</v>
      </c>
      <c r="Q137" s="51">
        <v>0</v>
      </c>
      <c r="R137" s="51">
        <v>989.58</v>
      </c>
      <c r="S137" s="51">
        <v>190</v>
      </c>
      <c r="T137" s="51"/>
      <c r="U137" s="51">
        <f t="shared" ref="U137:U149" si="38">ROUND(SUM(H137:T137),5)</f>
        <v>9179.91</v>
      </c>
      <c r="V137" s="67">
        <v>10000</v>
      </c>
      <c r="W137" s="67">
        <v>15000</v>
      </c>
      <c r="AB137" s="86"/>
      <c r="AC137" s="86"/>
      <c r="AD137" s="86"/>
      <c r="AE137" s="86"/>
      <c r="AF137" s="86"/>
      <c r="AG137" s="86" t="s">
        <v>164</v>
      </c>
      <c r="AH137" s="87"/>
      <c r="AI137" s="87"/>
      <c r="AJ137" s="87"/>
      <c r="AK137" s="87"/>
      <c r="AL137" s="87">
        <v>0</v>
      </c>
      <c r="AM137" s="87">
        <v>0</v>
      </c>
      <c r="AN137" s="87">
        <v>256.27</v>
      </c>
      <c r="AO137" s="87">
        <v>0</v>
      </c>
      <c r="AP137" s="87">
        <v>309.95</v>
      </c>
      <c r="AQ137" s="87">
        <v>0</v>
      </c>
      <c r="AR137" s="87">
        <v>0</v>
      </c>
      <c r="AS137" s="87">
        <v>100</v>
      </c>
      <c r="AT137" s="87">
        <v>0</v>
      </c>
      <c r="AU137" s="87">
        <v>0</v>
      </c>
      <c r="AV137" s="87">
        <v>0</v>
      </c>
      <c r="AW137" s="87">
        <v>0</v>
      </c>
      <c r="AX137" s="87"/>
      <c r="AY137" s="88">
        <f t="shared" ref="AY137:AY149" si="39">ROUND(SUM(AH137:AX137),5)</f>
        <v>666.22</v>
      </c>
      <c r="AZ137" s="88">
        <v>10000</v>
      </c>
      <c r="BA137" s="88">
        <v>10000</v>
      </c>
      <c r="BB137" s="89"/>
    </row>
    <row r="138" spans="1:54" x14ac:dyDescent="0.3">
      <c r="A138" s="50"/>
      <c r="B138" s="50"/>
      <c r="C138" s="50"/>
      <c r="D138" s="50"/>
      <c r="E138" s="50"/>
      <c r="F138" s="50"/>
      <c r="G138" s="50" t="s">
        <v>165</v>
      </c>
      <c r="H138" s="51">
        <v>0</v>
      </c>
      <c r="I138" s="51">
        <v>0</v>
      </c>
      <c r="J138" s="51">
        <v>0</v>
      </c>
      <c r="K138" s="51">
        <v>0</v>
      </c>
      <c r="L138" s="51">
        <v>0</v>
      </c>
      <c r="M138" s="51">
        <v>0</v>
      </c>
      <c r="N138" s="51">
        <v>0</v>
      </c>
      <c r="O138" s="51">
        <v>0</v>
      </c>
      <c r="P138" s="51">
        <v>0</v>
      </c>
      <c r="Q138" s="51">
        <v>0</v>
      </c>
      <c r="R138" s="51">
        <v>0</v>
      </c>
      <c r="S138" s="51">
        <v>0</v>
      </c>
      <c r="T138" s="51"/>
      <c r="U138" s="51">
        <f t="shared" si="38"/>
        <v>0</v>
      </c>
      <c r="V138" s="67">
        <v>2500</v>
      </c>
      <c r="W138" s="67">
        <v>2500</v>
      </c>
      <c r="AB138" s="86"/>
      <c r="AC138" s="86"/>
      <c r="AD138" s="86"/>
      <c r="AE138" s="86"/>
      <c r="AF138" s="86"/>
      <c r="AG138" s="86" t="s">
        <v>165</v>
      </c>
      <c r="AH138" s="87"/>
      <c r="AI138" s="87"/>
      <c r="AJ138" s="87"/>
      <c r="AK138" s="87"/>
      <c r="AL138" s="87">
        <v>260</v>
      </c>
      <c r="AM138" s="87">
        <v>0</v>
      </c>
      <c r="AN138" s="87">
        <v>0</v>
      </c>
      <c r="AO138" s="87">
        <v>0</v>
      </c>
      <c r="AP138" s="87">
        <v>0</v>
      </c>
      <c r="AQ138" s="87">
        <v>0</v>
      </c>
      <c r="AR138" s="87">
        <v>55.85</v>
      </c>
      <c r="AS138" s="87">
        <v>0</v>
      </c>
      <c r="AT138" s="87">
        <v>675</v>
      </c>
      <c r="AU138" s="87">
        <v>1525</v>
      </c>
      <c r="AV138" s="87">
        <v>591</v>
      </c>
      <c r="AW138" s="87">
        <v>0</v>
      </c>
      <c r="AX138" s="87"/>
      <c r="AY138" s="88">
        <f t="shared" si="39"/>
        <v>3106.85</v>
      </c>
      <c r="AZ138" s="88">
        <v>2500</v>
      </c>
      <c r="BA138" s="88">
        <v>2500</v>
      </c>
      <c r="BB138" s="89"/>
    </row>
    <row r="139" spans="1:54" x14ac:dyDescent="0.3">
      <c r="A139" s="50"/>
      <c r="B139" s="50"/>
      <c r="C139" s="50"/>
      <c r="D139" s="50"/>
      <c r="E139" s="50"/>
      <c r="F139" s="50"/>
      <c r="G139" s="50" t="s">
        <v>166</v>
      </c>
      <c r="H139" s="51">
        <v>2668.6</v>
      </c>
      <c r="I139" s="51">
        <v>61</v>
      </c>
      <c r="J139" s="51">
        <v>490</v>
      </c>
      <c r="K139" s="51">
        <v>2228</v>
      </c>
      <c r="L139" s="51">
        <v>2690</v>
      </c>
      <c r="M139" s="51">
        <v>490</v>
      </c>
      <c r="N139" s="51">
        <v>490</v>
      </c>
      <c r="O139" s="51">
        <v>2228</v>
      </c>
      <c r="P139" s="51">
        <v>539.59</v>
      </c>
      <c r="Q139" s="51">
        <v>2135.7199999999998</v>
      </c>
      <c r="R139" s="51">
        <v>2280.1999999999998</v>
      </c>
      <c r="S139" s="51">
        <v>490</v>
      </c>
      <c r="T139" s="51"/>
      <c r="U139" s="51">
        <f t="shared" si="38"/>
        <v>16791.11</v>
      </c>
      <c r="V139" s="67">
        <v>16500</v>
      </c>
      <c r="W139" s="67">
        <v>18000</v>
      </c>
      <c r="AB139" s="86"/>
      <c r="AC139" s="86"/>
      <c r="AD139" s="86"/>
      <c r="AE139" s="86"/>
      <c r="AF139" s="86"/>
      <c r="AG139" s="86" t="s">
        <v>166</v>
      </c>
      <c r="AH139" s="87"/>
      <c r="AI139" s="87"/>
      <c r="AJ139" s="87"/>
      <c r="AK139" s="87"/>
      <c r="AL139" s="87">
        <v>2873.04</v>
      </c>
      <c r="AM139" s="87">
        <v>51</v>
      </c>
      <c r="AN139" s="87">
        <v>490</v>
      </c>
      <c r="AO139" s="87">
        <v>2228</v>
      </c>
      <c r="AP139" s="87">
        <v>650.25</v>
      </c>
      <c r="AQ139" s="87">
        <v>497.74</v>
      </c>
      <c r="AR139" s="87">
        <v>2718</v>
      </c>
      <c r="AS139" s="87">
        <v>490</v>
      </c>
      <c r="AT139" s="87">
        <v>490</v>
      </c>
      <c r="AU139" s="87">
        <v>504.13</v>
      </c>
      <c r="AV139" s="87">
        <v>2433.37</v>
      </c>
      <c r="AW139" s="87">
        <v>0</v>
      </c>
      <c r="AX139" s="87"/>
      <c r="AY139" s="88">
        <f t="shared" si="39"/>
        <v>13425.53</v>
      </c>
      <c r="AZ139" s="88">
        <v>16500</v>
      </c>
      <c r="BA139" s="88">
        <v>16500</v>
      </c>
      <c r="BB139" s="89"/>
    </row>
    <row r="140" spans="1:54" x14ac:dyDescent="0.3">
      <c r="A140" s="50"/>
      <c r="B140" s="50"/>
      <c r="C140" s="50"/>
      <c r="D140" s="50"/>
      <c r="E140" s="50"/>
      <c r="F140" s="50"/>
      <c r="G140" s="50" t="s">
        <v>167</v>
      </c>
      <c r="H140" s="51">
        <v>900</v>
      </c>
      <c r="I140" s="51">
        <v>46</v>
      </c>
      <c r="J140" s="51">
        <v>450</v>
      </c>
      <c r="K140" s="51">
        <v>496</v>
      </c>
      <c r="L140" s="51">
        <v>691</v>
      </c>
      <c r="M140" s="51">
        <v>450</v>
      </c>
      <c r="N140" s="51">
        <v>546</v>
      </c>
      <c r="O140" s="51">
        <v>500</v>
      </c>
      <c r="P140" s="51">
        <v>546</v>
      </c>
      <c r="Q140" s="51">
        <v>546</v>
      </c>
      <c r="R140" s="51">
        <v>500</v>
      </c>
      <c r="S140" s="51">
        <v>450</v>
      </c>
      <c r="T140" s="51"/>
      <c r="U140" s="51">
        <f t="shared" si="38"/>
        <v>6121</v>
      </c>
      <c r="V140" s="67">
        <v>6000</v>
      </c>
      <c r="W140" s="67">
        <v>6800</v>
      </c>
      <c r="AB140" s="86"/>
      <c r="AC140" s="86"/>
      <c r="AD140" s="86"/>
      <c r="AE140" s="86"/>
      <c r="AF140" s="86"/>
      <c r="AG140" s="86" t="s">
        <v>167</v>
      </c>
      <c r="AH140" s="87"/>
      <c r="AI140" s="87"/>
      <c r="AJ140" s="87"/>
      <c r="AK140" s="87"/>
      <c r="AL140" s="87">
        <v>496</v>
      </c>
      <c r="AM140" s="87">
        <v>450</v>
      </c>
      <c r="AN140" s="87">
        <v>496</v>
      </c>
      <c r="AO140" s="87">
        <v>450</v>
      </c>
      <c r="AP140" s="87">
        <v>450</v>
      </c>
      <c r="AQ140" s="87">
        <v>496</v>
      </c>
      <c r="AR140" s="87">
        <v>496</v>
      </c>
      <c r="AS140" s="87">
        <v>450</v>
      </c>
      <c r="AT140" s="87">
        <v>496</v>
      </c>
      <c r="AU140" s="87">
        <v>450</v>
      </c>
      <c r="AV140" s="87">
        <v>496</v>
      </c>
      <c r="AW140" s="87">
        <v>450</v>
      </c>
      <c r="AX140" s="87"/>
      <c r="AY140" s="88">
        <f t="shared" si="39"/>
        <v>5676</v>
      </c>
      <c r="AZ140" s="88">
        <v>6000</v>
      </c>
      <c r="BA140" s="88">
        <v>6000</v>
      </c>
      <c r="BB140" s="89"/>
    </row>
    <row r="141" spans="1:54" x14ac:dyDescent="0.3">
      <c r="A141" s="50"/>
      <c r="B141" s="50"/>
      <c r="C141" s="50"/>
      <c r="D141" s="50"/>
      <c r="E141" s="50"/>
      <c r="F141" s="50"/>
      <c r="G141" s="50" t="s">
        <v>168</v>
      </c>
      <c r="H141" s="51">
        <v>0</v>
      </c>
      <c r="I141" s="51">
        <v>1400</v>
      </c>
      <c r="J141" s="51">
        <v>0</v>
      </c>
      <c r="K141" s="51">
        <v>0</v>
      </c>
      <c r="L141" s="51">
        <v>400</v>
      </c>
      <c r="M141" s="51">
        <v>0</v>
      </c>
      <c r="N141" s="51">
        <v>0</v>
      </c>
      <c r="O141" s="51">
        <v>0</v>
      </c>
      <c r="P141" s="51">
        <v>0</v>
      </c>
      <c r="Q141" s="51">
        <v>0</v>
      </c>
      <c r="R141" s="51">
        <v>0</v>
      </c>
      <c r="S141" s="51">
        <v>800</v>
      </c>
      <c r="T141" s="51"/>
      <c r="U141" s="51">
        <f t="shared" si="38"/>
        <v>2600</v>
      </c>
      <c r="V141" s="67">
        <v>2500</v>
      </c>
      <c r="W141" s="67">
        <v>2650</v>
      </c>
      <c r="AB141" s="86"/>
      <c r="AC141" s="86"/>
      <c r="AD141" s="86"/>
      <c r="AE141" s="86"/>
      <c r="AF141" s="86"/>
      <c r="AG141" s="86" t="s">
        <v>168</v>
      </c>
      <c r="AH141" s="87"/>
      <c r="AI141" s="87"/>
      <c r="AJ141" s="87"/>
      <c r="AK141" s="87"/>
      <c r="AL141" s="87">
        <v>300</v>
      </c>
      <c r="AM141" s="87">
        <v>0</v>
      </c>
      <c r="AN141" s="87">
        <v>0</v>
      </c>
      <c r="AO141" s="87">
        <v>0</v>
      </c>
      <c r="AP141" s="87">
        <v>0</v>
      </c>
      <c r="AQ141" s="87">
        <v>0</v>
      </c>
      <c r="AR141" s="87">
        <v>0</v>
      </c>
      <c r="AS141" s="87">
        <v>0</v>
      </c>
      <c r="AT141" s="87">
        <v>0</v>
      </c>
      <c r="AU141" s="87">
        <v>0</v>
      </c>
      <c r="AV141" s="87">
        <v>0</v>
      </c>
      <c r="AW141" s="87">
        <v>0</v>
      </c>
      <c r="AX141" s="87"/>
      <c r="AY141" s="88">
        <f t="shared" si="39"/>
        <v>300</v>
      </c>
      <c r="AZ141" s="88">
        <v>3500</v>
      </c>
      <c r="BA141" s="88">
        <v>2500</v>
      </c>
      <c r="BB141" s="89" t="s">
        <v>252</v>
      </c>
    </row>
    <row r="142" spans="1:54" x14ac:dyDescent="0.3">
      <c r="A142" s="50"/>
      <c r="B142" s="50"/>
      <c r="C142" s="50"/>
      <c r="D142" s="50"/>
      <c r="E142" s="50"/>
      <c r="F142" s="50"/>
      <c r="G142" s="50" t="s">
        <v>169</v>
      </c>
      <c r="H142" s="51">
        <v>0</v>
      </c>
      <c r="I142" s="51">
        <v>0</v>
      </c>
      <c r="J142" s="51">
        <v>155</v>
      </c>
      <c r="K142" s="51">
        <v>172</v>
      </c>
      <c r="L142" s="51">
        <v>0</v>
      </c>
      <c r="M142" s="51">
        <v>930</v>
      </c>
      <c r="N142" s="51">
        <v>0</v>
      </c>
      <c r="O142" s="51">
        <v>0</v>
      </c>
      <c r="P142" s="51">
        <v>305</v>
      </c>
      <c r="Q142" s="51">
        <v>0</v>
      </c>
      <c r="R142" s="51">
        <v>761</v>
      </c>
      <c r="S142" s="51">
        <v>465</v>
      </c>
      <c r="T142" s="51"/>
      <c r="U142" s="51">
        <f t="shared" si="38"/>
        <v>2788</v>
      </c>
      <c r="V142" s="67">
        <v>2500</v>
      </c>
      <c r="W142" s="67">
        <v>3000</v>
      </c>
      <c r="AB142" s="86"/>
      <c r="AC142" s="86"/>
      <c r="AD142" s="86"/>
      <c r="AE142" s="86"/>
      <c r="AF142" s="86"/>
      <c r="AG142" s="86" t="s">
        <v>169</v>
      </c>
      <c r="AH142" s="87"/>
      <c r="AI142" s="87"/>
      <c r="AJ142" s="87"/>
      <c r="AK142" s="87"/>
      <c r="AL142" s="87">
        <v>0</v>
      </c>
      <c r="AM142" s="87">
        <v>0</v>
      </c>
      <c r="AN142" s="87">
        <v>389</v>
      </c>
      <c r="AO142" s="87">
        <v>125</v>
      </c>
      <c r="AP142" s="87">
        <v>250</v>
      </c>
      <c r="AQ142" s="87">
        <v>0</v>
      </c>
      <c r="AR142" s="87">
        <v>0</v>
      </c>
      <c r="AS142" s="87">
        <v>0</v>
      </c>
      <c r="AT142" s="87">
        <v>560</v>
      </c>
      <c r="AU142" s="87">
        <v>0</v>
      </c>
      <c r="AV142" s="87">
        <v>250</v>
      </c>
      <c r="AW142" s="87">
        <v>0</v>
      </c>
      <c r="AX142" s="87"/>
      <c r="AY142" s="88">
        <f t="shared" si="39"/>
        <v>1574</v>
      </c>
      <c r="AZ142" s="88">
        <v>2500</v>
      </c>
      <c r="BA142" s="88">
        <v>2500</v>
      </c>
      <c r="BB142" s="89"/>
    </row>
    <row r="143" spans="1:54" ht="13.8" customHeight="1" x14ac:dyDescent="0.3">
      <c r="A143" s="50"/>
      <c r="B143" s="50"/>
      <c r="C143" s="50"/>
      <c r="D143" s="50"/>
      <c r="E143" s="50"/>
      <c r="F143" s="50"/>
      <c r="G143" s="50" t="s">
        <v>170</v>
      </c>
      <c r="H143" s="51">
        <v>0</v>
      </c>
      <c r="I143" s="51">
        <v>0</v>
      </c>
      <c r="J143" s="51">
        <v>0</v>
      </c>
      <c r="K143" s="51">
        <v>0</v>
      </c>
      <c r="L143" s="51">
        <v>0</v>
      </c>
      <c r="M143" s="51">
        <v>0</v>
      </c>
      <c r="N143" s="51">
        <v>0</v>
      </c>
      <c r="O143" s="51">
        <v>0</v>
      </c>
      <c r="P143" s="51">
        <v>0</v>
      </c>
      <c r="Q143" s="51">
        <v>0</v>
      </c>
      <c r="R143" s="51">
        <v>0</v>
      </c>
      <c r="S143" s="51">
        <v>0</v>
      </c>
      <c r="T143" s="51"/>
      <c r="U143" s="51">
        <v>0</v>
      </c>
      <c r="V143" s="67">
        <v>400</v>
      </c>
      <c r="W143" s="67">
        <v>400</v>
      </c>
      <c r="AB143" s="86"/>
      <c r="AC143" s="86"/>
      <c r="AD143" s="86"/>
      <c r="AE143" s="86"/>
      <c r="AF143" s="86"/>
      <c r="AG143" s="86" t="s">
        <v>170</v>
      </c>
      <c r="AH143" s="87"/>
      <c r="AI143" s="87"/>
      <c r="AJ143" s="87"/>
      <c r="AK143" s="87"/>
      <c r="AL143" s="87">
        <v>0</v>
      </c>
      <c r="AM143" s="87">
        <v>0</v>
      </c>
      <c r="AN143" s="87">
        <v>0</v>
      </c>
      <c r="AO143" s="87">
        <v>0</v>
      </c>
      <c r="AP143" s="87">
        <v>0</v>
      </c>
      <c r="AQ143" s="87">
        <v>0</v>
      </c>
      <c r="AR143" s="87">
        <v>0</v>
      </c>
      <c r="AS143" s="87">
        <v>0</v>
      </c>
      <c r="AT143" s="87">
        <v>0</v>
      </c>
      <c r="AU143" s="87">
        <v>0</v>
      </c>
      <c r="AV143" s="87">
        <v>0</v>
      </c>
      <c r="AW143" s="87">
        <v>0</v>
      </c>
      <c r="AX143" s="87"/>
      <c r="AY143" s="88">
        <f t="shared" si="39"/>
        <v>0</v>
      </c>
      <c r="AZ143" s="88">
        <v>250</v>
      </c>
      <c r="BA143" s="88">
        <v>400</v>
      </c>
      <c r="BB143" s="89" t="s">
        <v>263</v>
      </c>
    </row>
    <row r="144" spans="1:54" ht="13.8" customHeight="1" x14ac:dyDescent="0.3">
      <c r="A144" s="50"/>
      <c r="B144" s="50"/>
      <c r="C144" s="50"/>
      <c r="D144" s="50"/>
      <c r="E144" s="50"/>
      <c r="F144" s="50"/>
      <c r="G144" s="50" t="s">
        <v>171</v>
      </c>
      <c r="H144" s="51">
        <v>333.11</v>
      </c>
      <c r="I144" s="51">
        <v>0</v>
      </c>
      <c r="J144" s="51">
        <v>666.22</v>
      </c>
      <c r="K144" s="51">
        <v>71.599999999999994</v>
      </c>
      <c r="L144" s="51">
        <v>666.22</v>
      </c>
      <c r="M144" s="51">
        <v>8306.75</v>
      </c>
      <c r="N144" s="51">
        <v>149.18</v>
      </c>
      <c r="O144" s="51">
        <v>7675.8</v>
      </c>
      <c r="P144" s="51">
        <v>327.41000000000003</v>
      </c>
      <c r="Q144" s="51">
        <v>59.1</v>
      </c>
      <c r="R144" s="51">
        <v>228.97</v>
      </c>
      <c r="S144" s="51">
        <v>758.23</v>
      </c>
      <c r="T144" s="51"/>
      <c r="U144" s="51">
        <f t="shared" si="38"/>
        <v>19242.59</v>
      </c>
      <c r="V144" s="67">
        <v>7500</v>
      </c>
      <c r="W144" s="67">
        <v>7500</v>
      </c>
      <c r="AB144" s="86"/>
      <c r="AC144" s="86"/>
      <c r="AD144" s="86"/>
      <c r="AE144" s="86"/>
      <c r="AF144" s="86"/>
      <c r="AG144" s="86" t="s">
        <v>171</v>
      </c>
      <c r="AH144" s="87"/>
      <c r="AI144" s="87"/>
      <c r="AJ144" s="87"/>
      <c r="AK144" s="87"/>
      <c r="AL144" s="87">
        <v>305.61</v>
      </c>
      <c r="AM144" s="87">
        <v>0</v>
      </c>
      <c r="AN144" s="87">
        <v>611.22</v>
      </c>
      <c r="AO144" s="87">
        <v>305.61</v>
      </c>
      <c r="AP144" s="87">
        <v>305.61</v>
      </c>
      <c r="AQ144" s="87">
        <v>414.25</v>
      </c>
      <c r="AR144" s="87">
        <v>305.61</v>
      </c>
      <c r="AS144" s="87">
        <v>0</v>
      </c>
      <c r="AT144" s="87">
        <v>611.22</v>
      </c>
      <c r="AU144" s="87">
        <v>305.61</v>
      </c>
      <c r="AV144" s="87">
        <v>305.61</v>
      </c>
      <c r="AW144" s="87">
        <v>305.61</v>
      </c>
      <c r="AX144" s="87"/>
      <c r="AY144" s="88">
        <f t="shared" si="39"/>
        <v>3775.96</v>
      </c>
      <c r="AZ144" s="88">
        <v>3700</v>
      </c>
      <c r="BA144" s="88">
        <v>7500</v>
      </c>
      <c r="BB144" s="89" t="s">
        <v>262</v>
      </c>
    </row>
    <row r="145" spans="1:56" ht="13.8" customHeight="1" x14ac:dyDescent="0.3">
      <c r="A145" s="50"/>
      <c r="B145" s="50"/>
      <c r="C145" s="50"/>
      <c r="D145" s="50"/>
      <c r="E145" s="50"/>
      <c r="F145" s="50"/>
      <c r="G145" s="50" t="s">
        <v>172</v>
      </c>
      <c r="H145" s="51">
        <v>187.95</v>
      </c>
      <c r="I145" s="51">
        <v>185.81</v>
      </c>
      <c r="J145" s="51">
        <v>187.35</v>
      </c>
      <c r="K145" s="51">
        <v>471.19</v>
      </c>
      <c r="L145" s="51">
        <v>36.840000000000003</v>
      </c>
      <c r="M145" s="51">
        <v>228.9</v>
      </c>
      <c r="N145" s="51">
        <v>0</v>
      </c>
      <c r="O145" s="51">
        <v>385.67</v>
      </c>
      <c r="P145" s="51">
        <v>484.47</v>
      </c>
      <c r="Q145" s="51">
        <v>184.32</v>
      </c>
      <c r="R145" s="51">
        <v>747.8</v>
      </c>
      <c r="S145" s="51">
        <v>185.81</v>
      </c>
      <c r="T145" s="51"/>
      <c r="U145" s="51">
        <f t="shared" si="38"/>
        <v>3286.11</v>
      </c>
      <c r="V145" s="67">
        <v>4000</v>
      </c>
      <c r="W145" s="67">
        <v>4800</v>
      </c>
      <c r="AB145" s="86"/>
      <c r="AC145" s="86"/>
      <c r="AD145" s="86"/>
      <c r="AE145" s="86"/>
      <c r="AF145" s="86"/>
      <c r="AG145" s="86" t="s">
        <v>172</v>
      </c>
      <c r="AH145" s="87"/>
      <c r="AI145" s="87"/>
      <c r="AJ145" s="87"/>
      <c r="AK145" s="87"/>
      <c r="AL145" s="87">
        <v>330.81</v>
      </c>
      <c r="AM145" s="87">
        <v>96.32</v>
      </c>
      <c r="AN145" s="87">
        <v>169.12</v>
      </c>
      <c r="AO145" s="87">
        <v>97.75</v>
      </c>
      <c r="AP145" s="87">
        <v>134.9</v>
      </c>
      <c r="AQ145" s="87">
        <v>147.91</v>
      </c>
      <c r="AR145" s="87">
        <v>325.38</v>
      </c>
      <c r="AS145" s="87">
        <v>0</v>
      </c>
      <c r="AT145" s="87">
        <v>265.42</v>
      </c>
      <c r="AU145" s="87">
        <v>163.34</v>
      </c>
      <c r="AV145" s="87">
        <v>122.25</v>
      </c>
      <c r="AW145" s="87">
        <v>199.82</v>
      </c>
      <c r="AX145" s="87"/>
      <c r="AY145" s="88">
        <f t="shared" si="39"/>
        <v>2053.02</v>
      </c>
      <c r="AZ145" s="88">
        <v>2800</v>
      </c>
      <c r="BA145" s="88">
        <v>4000</v>
      </c>
      <c r="BB145" s="89" t="s">
        <v>261</v>
      </c>
    </row>
    <row r="146" spans="1:56" x14ac:dyDescent="0.3">
      <c r="A146" s="50"/>
      <c r="B146" s="50"/>
      <c r="C146" s="50"/>
      <c r="D146" s="50"/>
      <c r="E146" s="50"/>
      <c r="F146" s="50"/>
      <c r="G146" s="50" t="s">
        <v>173</v>
      </c>
      <c r="H146" s="51">
        <v>199.95</v>
      </c>
      <c r="I146" s="51">
        <v>764.87</v>
      </c>
      <c r="J146" s="51">
        <v>199.95</v>
      </c>
      <c r="K146" s="51">
        <v>1384.11</v>
      </c>
      <c r="L146" s="51">
        <v>471.42</v>
      </c>
      <c r="M146" s="51">
        <v>1236.1400000000001</v>
      </c>
      <c r="N146" s="51">
        <v>1269.6099999999999</v>
      </c>
      <c r="O146" s="51">
        <v>258.58</v>
      </c>
      <c r="P146" s="51">
        <v>2321.1999999999998</v>
      </c>
      <c r="Q146" s="51">
        <v>1105.0999999999999</v>
      </c>
      <c r="R146" s="51">
        <v>1284.1099999999999</v>
      </c>
      <c r="S146" s="51">
        <v>938.47</v>
      </c>
      <c r="T146" s="51"/>
      <c r="U146" s="51">
        <f t="shared" si="38"/>
        <v>11433.51</v>
      </c>
      <c r="V146" s="67">
        <v>13000</v>
      </c>
      <c r="W146" s="67">
        <v>13000</v>
      </c>
      <c r="AB146" s="86"/>
      <c r="AC146" s="86"/>
      <c r="AD146" s="86"/>
      <c r="AE146" s="86"/>
      <c r="AF146" s="86"/>
      <c r="AG146" s="86" t="s">
        <v>173</v>
      </c>
      <c r="AH146" s="87"/>
      <c r="AI146" s="87"/>
      <c r="AJ146" s="87"/>
      <c r="AK146" s="87"/>
      <c r="AL146" s="87">
        <v>1549.97</v>
      </c>
      <c r="AM146" s="87">
        <v>1016.67</v>
      </c>
      <c r="AN146" s="87">
        <v>1015.39</v>
      </c>
      <c r="AO146" s="87">
        <v>289.32</v>
      </c>
      <c r="AP146" s="87">
        <v>1934.04</v>
      </c>
      <c r="AQ146" s="87">
        <v>903.78</v>
      </c>
      <c r="AR146" s="87">
        <v>1184.33</v>
      </c>
      <c r="AS146" s="87">
        <v>443.68</v>
      </c>
      <c r="AT146" s="87">
        <v>1731.99</v>
      </c>
      <c r="AU146" s="87">
        <v>1022.29</v>
      </c>
      <c r="AV146" s="87">
        <v>833.3</v>
      </c>
      <c r="AW146" s="87">
        <v>572.04999999999995</v>
      </c>
      <c r="AX146" s="87"/>
      <c r="AY146" s="88">
        <f t="shared" si="39"/>
        <v>12496.81</v>
      </c>
      <c r="AZ146" s="88">
        <v>12500</v>
      </c>
      <c r="BA146" s="88">
        <v>13000</v>
      </c>
      <c r="BB146" s="89"/>
    </row>
    <row r="147" spans="1:56" ht="15" thickBot="1" x14ac:dyDescent="0.35">
      <c r="A147" s="50"/>
      <c r="B147" s="50"/>
      <c r="C147" s="50"/>
      <c r="D147" s="50"/>
      <c r="E147" s="50"/>
      <c r="F147" s="50"/>
      <c r="G147" s="50" t="s">
        <v>174</v>
      </c>
      <c r="H147" s="51">
        <v>2011.87</v>
      </c>
      <c r="I147" s="51">
        <v>0</v>
      </c>
      <c r="J147" s="51">
        <v>299.66000000000003</v>
      </c>
      <c r="K147" s="51">
        <v>1323.9</v>
      </c>
      <c r="L147" s="51">
        <v>45.99</v>
      </c>
      <c r="M147" s="51">
        <v>442.46</v>
      </c>
      <c r="N147" s="51">
        <v>0</v>
      </c>
      <c r="O147" s="51">
        <v>342.55</v>
      </c>
      <c r="P147" s="51">
        <v>0</v>
      </c>
      <c r="Q147" s="51">
        <v>60.42</v>
      </c>
      <c r="R147" s="51">
        <v>0</v>
      </c>
      <c r="S147" s="51">
        <v>11382.67</v>
      </c>
      <c r="T147" s="51"/>
      <c r="U147" s="51">
        <f t="shared" si="38"/>
        <v>15909.52</v>
      </c>
      <c r="V147" s="67">
        <v>8500</v>
      </c>
      <c r="W147" s="67">
        <v>8500</v>
      </c>
      <c r="AB147" s="86"/>
      <c r="AC147" s="86"/>
      <c r="AD147" s="86"/>
      <c r="AE147" s="86"/>
      <c r="AF147" s="86"/>
      <c r="AG147" s="86" t="s">
        <v>174</v>
      </c>
      <c r="AH147" s="87"/>
      <c r="AI147" s="87"/>
      <c r="AJ147" s="87"/>
      <c r="AK147" s="87"/>
      <c r="AL147" s="87">
        <v>0</v>
      </c>
      <c r="AM147" s="87">
        <v>0</v>
      </c>
      <c r="AN147" s="87">
        <v>188.42</v>
      </c>
      <c r="AO147" s="87">
        <v>1763.16</v>
      </c>
      <c r="AP147" s="87">
        <v>0</v>
      </c>
      <c r="AQ147" s="87">
        <v>82</v>
      </c>
      <c r="AR147" s="87">
        <v>88</v>
      </c>
      <c r="AS147" s="87">
        <v>0</v>
      </c>
      <c r="AT147" s="87">
        <v>216</v>
      </c>
      <c r="AU147" s="87">
        <v>0</v>
      </c>
      <c r="AV147" s="87">
        <v>0</v>
      </c>
      <c r="AW147" s="87">
        <v>0</v>
      </c>
      <c r="AX147" s="87"/>
      <c r="AY147" s="88">
        <f t="shared" si="39"/>
        <v>2337.58</v>
      </c>
      <c r="AZ147" s="88">
        <v>8500</v>
      </c>
      <c r="BA147" s="88">
        <v>8500</v>
      </c>
      <c r="BB147" s="89"/>
    </row>
    <row r="148" spans="1:56" ht="15" thickBot="1" x14ac:dyDescent="0.35">
      <c r="A148" s="50"/>
      <c r="B148" s="50"/>
      <c r="C148" s="50"/>
      <c r="D148" s="50"/>
      <c r="E148" s="50"/>
      <c r="F148" s="50" t="s">
        <v>175</v>
      </c>
      <c r="G148" s="50"/>
      <c r="H148" s="53">
        <f t="shared" ref="H148:S148" si="40">ROUND(SUM(H136:H147),5)</f>
        <v>8094.09</v>
      </c>
      <c r="I148" s="53">
        <f t="shared" si="40"/>
        <v>2457.6799999999998</v>
      </c>
      <c r="J148" s="53">
        <f t="shared" si="40"/>
        <v>2448.1799999999998</v>
      </c>
      <c r="K148" s="53">
        <f t="shared" si="40"/>
        <v>6534.68</v>
      </c>
      <c r="L148" s="53">
        <f t="shared" si="40"/>
        <v>5624.84</v>
      </c>
      <c r="M148" s="53">
        <f t="shared" si="40"/>
        <v>14605.83</v>
      </c>
      <c r="N148" s="53">
        <f t="shared" si="40"/>
        <v>4906.1000000000004</v>
      </c>
      <c r="O148" s="53">
        <f t="shared" si="40"/>
        <v>11390.6</v>
      </c>
      <c r="P148" s="53">
        <f t="shared" si="40"/>
        <v>4747.25</v>
      </c>
      <c r="Q148" s="53">
        <f t="shared" si="40"/>
        <v>4090.66</v>
      </c>
      <c r="R148" s="53">
        <f t="shared" si="40"/>
        <v>6791.66</v>
      </c>
      <c r="S148" s="53">
        <f t="shared" si="40"/>
        <v>15660.18</v>
      </c>
      <c r="T148" s="53"/>
      <c r="U148" s="53">
        <f t="shared" si="38"/>
        <v>87351.75</v>
      </c>
      <c r="V148" s="53">
        <f>ROUND(SUM(V136:V147),5)</f>
        <v>73400</v>
      </c>
      <c r="W148" s="53">
        <f>ROUND(SUM(W136:W147),5)</f>
        <v>82150</v>
      </c>
      <c r="AB148" s="86"/>
      <c r="AC148" s="86"/>
      <c r="AD148" s="86"/>
      <c r="AE148" s="86" t="s">
        <v>176</v>
      </c>
      <c r="AF148" s="86" t="s">
        <v>175</v>
      </c>
      <c r="AG148" s="86"/>
      <c r="AH148" s="93"/>
      <c r="AI148" s="93"/>
      <c r="AJ148" s="93"/>
      <c r="AK148" s="93"/>
      <c r="AL148" s="93">
        <f t="shared" ref="AL148:AW148" si="41">ROUND(SUM(AL136:AL147),5)</f>
        <v>6115.43</v>
      </c>
      <c r="AM148" s="93">
        <f t="shared" si="41"/>
        <v>1613.99</v>
      </c>
      <c r="AN148" s="93">
        <f t="shared" si="41"/>
        <v>3615.42</v>
      </c>
      <c r="AO148" s="93">
        <f t="shared" si="41"/>
        <v>5258.84</v>
      </c>
      <c r="AP148" s="93">
        <f t="shared" si="41"/>
        <v>4034.75</v>
      </c>
      <c r="AQ148" s="93">
        <f t="shared" si="41"/>
        <v>2541.6799999999998</v>
      </c>
      <c r="AR148" s="93">
        <f t="shared" si="41"/>
        <v>5173.17</v>
      </c>
      <c r="AS148" s="93">
        <f t="shared" si="41"/>
        <v>1483.68</v>
      </c>
      <c r="AT148" s="93">
        <f t="shared" si="41"/>
        <v>5045.63</v>
      </c>
      <c r="AU148" s="93">
        <f t="shared" si="41"/>
        <v>3970.37</v>
      </c>
      <c r="AV148" s="93">
        <f t="shared" si="41"/>
        <v>5031.53</v>
      </c>
      <c r="AW148" s="93">
        <f t="shared" si="41"/>
        <v>1527.48</v>
      </c>
      <c r="AX148" s="93"/>
      <c r="AY148" s="94">
        <f t="shared" si="39"/>
        <v>45411.97</v>
      </c>
      <c r="AZ148" s="94">
        <f>ROUND(SUM(AZ136:AZ147),5)</f>
        <v>68750</v>
      </c>
      <c r="BA148" s="94">
        <f>ROUND(SUM(BA136:BA147),5)</f>
        <v>73400</v>
      </c>
      <c r="BB148" s="95"/>
    </row>
    <row r="149" spans="1:56" x14ac:dyDescent="0.3">
      <c r="A149" s="50"/>
      <c r="B149" s="50"/>
      <c r="C149" s="50"/>
      <c r="D149" s="50"/>
      <c r="E149" s="50" t="s">
        <v>176</v>
      </c>
      <c r="F149" s="50"/>
      <c r="G149" s="50"/>
      <c r="H149" s="51">
        <f t="shared" ref="H149:S149" si="42">ROUND(H72+H76+H124+H148,5)</f>
        <v>12924.06</v>
      </c>
      <c r="I149" s="51">
        <f t="shared" si="42"/>
        <v>11023.44</v>
      </c>
      <c r="J149" s="51">
        <f t="shared" si="42"/>
        <v>11741.11</v>
      </c>
      <c r="K149" s="51">
        <f t="shared" si="42"/>
        <v>25380.53</v>
      </c>
      <c r="L149" s="51">
        <f t="shared" si="42"/>
        <v>14068.64</v>
      </c>
      <c r="M149" s="51">
        <f t="shared" si="42"/>
        <v>23086.62</v>
      </c>
      <c r="N149" s="51">
        <f t="shared" si="42"/>
        <v>12862.43</v>
      </c>
      <c r="O149" s="51">
        <f t="shared" si="42"/>
        <v>16906.099999999999</v>
      </c>
      <c r="P149" s="51">
        <f t="shared" si="42"/>
        <v>11140.94</v>
      </c>
      <c r="Q149" s="51">
        <f t="shared" si="42"/>
        <v>11727.36</v>
      </c>
      <c r="R149" s="51">
        <f t="shared" si="42"/>
        <v>11613.56</v>
      </c>
      <c r="S149" s="51">
        <f t="shared" si="42"/>
        <v>25653.360000000001</v>
      </c>
      <c r="T149" s="51"/>
      <c r="U149" s="51">
        <f t="shared" si="38"/>
        <v>188128.15</v>
      </c>
      <c r="V149" s="51">
        <f>ROUND(V72+V76+V124+V148,5)</f>
        <v>255150</v>
      </c>
      <c r="W149" s="51">
        <f>ROUND(W72+W76+W124+W148,5)</f>
        <v>270500</v>
      </c>
      <c r="AB149" s="86"/>
      <c r="AC149" s="86"/>
      <c r="AD149" s="86"/>
      <c r="AE149" s="86" t="s">
        <v>177</v>
      </c>
      <c r="AF149" s="86"/>
      <c r="AG149" s="86"/>
      <c r="AH149" s="87"/>
      <c r="AI149" s="87"/>
      <c r="AJ149" s="87"/>
      <c r="AK149" s="87"/>
      <c r="AL149" s="87">
        <f t="shared" ref="AL149:AW149" si="43">ROUND(AL72+AL76+AL124+AL148,5)</f>
        <v>11309.88</v>
      </c>
      <c r="AM149" s="87">
        <f t="shared" si="43"/>
        <v>16749.12</v>
      </c>
      <c r="AN149" s="87">
        <f t="shared" si="43"/>
        <v>12622.71</v>
      </c>
      <c r="AO149" s="87">
        <f t="shared" si="43"/>
        <v>11103.24</v>
      </c>
      <c r="AP149" s="87">
        <f t="shared" si="43"/>
        <v>11446.41</v>
      </c>
      <c r="AQ149" s="87">
        <f t="shared" si="43"/>
        <v>10453.459999999999</v>
      </c>
      <c r="AR149" s="87">
        <f t="shared" si="43"/>
        <v>11012.23</v>
      </c>
      <c r="AS149" s="87">
        <f t="shared" si="43"/>
        <v>6587.86</v>
      </c>
      <c r="AT149" s="87">
        <f t="shared" si="43"/>
        <v>12475.07</v>
      </c>
      <c r="AU149" s="87">
        <f t="shared" si="43"/>
        <v>10928.87</v>
      </c>
      <c r="AV149" s="87">
        <f t="shared" si="43"/>
        <v>12329.12</v>
      </c>
      <c r="AW149" s="87">
        <f t="shared" si="43"/>
        <v>11692.02</v>
      </c>
      <c r="AX149" s="87"/>
      <c r="AY149" s="88">
        <f t="shared" si="39"/>
        <v>138709.99</v>
      </c>
      <c r="AZ149" s="88">
        <f>ROUND(AZ72+AZ76+AZ124+AZ148,5)</f>
        <v>248400</v>
      </c>
      <c r="BA149" s="88">
        <f>ROUND(BA72+BA76+BA124+BA148,5)</f>
        <v>255150</v>
      </c>
      <c r="BB149" s="89"/>
    </row>
    <row r="150" spans="1:56" x14ac:dyDescent="0.3">
      <c r="A150" s="50"/>
      <c r="B150" s="50"/>
      <c r="C150" s="50"/>
      <c r="D150" s="50"/>
      <c r="E150" s="50" t="s">
        <v>177</v>
      </c>
      <c r="F150" s="50"/>
      <c r="G150" s="50"/>
      <c r="H150" s="51"/>
      <c r="I150" s="51"/>
      <c r="J150" s="51"/>
      <c r="K150" s="51"/>
      <c r="L150" s="51"/>
      <c r="M150" s="51"/>
      <c r="N150" s="51"/>
      <c r="O150" s="51"/>
      <c r="P150" s="51"/>
      <c r="Q150" s="51"/>
      <c r="R150" s="51"/>
      <c r="S150" s="51"/>
      <c r="T150" s="51"/>
      <c r="U150" s="51"/>
      <c r="V150" s="51"/>
      <c r="W150" s="51"/>
      <c r="AB150" s="86"/>
      <c r="AC150" s="86"/>
      <c r="AD150" s="86"/>
      <c r="AE150" s="86"/>
      <c r="AF150" s="86"/>
      <c r="AG150" s="86"/>
      <c r="AH150" s="87"/>
      <c r="AI150" s="87"/>
      <c r="AJ150" s="87"/>
      <c r="AK150" s="87"/>
      <c r="AL150" s="87"/>
      <c r="AM150" s="87"/>
      <c r="AN150" s="87"/>
      <c r="AO150" s="87"/>
      <c r="AP150" s="87"/>
      <c r="AQ150" s="87"/>
      <c r="AR150" s="87"/>
      <c r="AS150" s="87"/>
      <c r="AT150" s="87"/>
      <c r="AU150" s="87"/>
      <c r="AV150" s="87"/>
      <c r="AW150" s="87"/>
      <c r="AX150" s="87"/>
      <c r="AY150" s="88"/>
      <c r="AZ150" s="88"/>
      <c r="BA150" s="88"/>
      <c r="BB150" s="89"/>
    </row>
    <row r="151" spans="1:56" x14ac:dyDescent="0.3">
      <c r="A151" s="50"/>
      <c r="B151" s="50"/>
      <c r="C151" s="50"/>
      <c r="D151" s="50"/>
      <c r="E151" s="50"/>
      <c r="F151" s="50" t="s">
        <v>178</v>
      </c>
      <c r="G151" s="50"/>
      <c r="H151" s="51"/>
      <c r="I151" s="51"/>
      <c r="J151" s="51"/>
      <c r="K151" s="51"/>
      <c r="L151" s="51"/>
      <c r="M151" s="51"/>
      <c r="N151" s="51"/>
      <c r="O151" s="51"/>
      <c r="P151" s="51"/>
      <c r="Q151" s="51"/>
      <c r="R151" s="51"/>
      <c r="S151" s="51"/>
      <c r="T151" s="51"/>
      <c r="U151" s="51"/>
      <c r="V151" s="51"/>
      <c r="W151" s="51"/>
      <c r="AB151" s="86"/>
      <c r="AC151" s="86"/>
      <c r="AD151" s="86"/>
      <c r="AE151" s="86"/>
      <c r="AF151" s="86" t="s">
        <v>178</v>
      </c>
      <c r="AG151" s="86"/>
      <c r="AH151" s="87"/>
      <c r="AI151" s="87"/>
      <c r="AJ151" s="87"/>
      <c r="AK151" s="87"/>
      <c r="AL151" s="87"/>
      <c r="AM151" s="87"/>
      <c r="AN151" s="87"/>
      <c r="AO151" s="87"/>
      <c r="AP151" s="87"/>
      <c r="AQ151" s="87"/>
      <c r="AR151" s="87"/>
      <c r="AS151" s="87"/>
      <c r="AT151" s="87"/>
      <c r="AU151" s="87"/>
      <c r="AV151" s="87"/>
      <c r="AW151" s="87"/>
      <c r="AX151" s="87"/>
      <c r="AY151" s="88"/>
      <c r="AZ151" s="88"/>
      <c r="BA151" s="88"/>
      <c r="BB151" s="89"/>
    </row>
    <row r="152" spans="1:56" ht="22.2" thickBot="1" x14ac:dyDescent="0.35">
      <c r="A152" s="50"/>
      <c r="B152" s="50"/>
      <c r="C152" s="50"/>
      <c r="D152" s="50"/>
      <c r="E152" s="50"/>
      <c r="F152" s="50"/>
      <c r="G152" s="50" t="s">
        <v>179</v>
      </c>
      <c r="H152" s="52">
        <v>0</v>
      </c>
      <c r="I152" s="52">
        <v>0</v>
      </c>
      <c r="J152" s="52">
        <v>0</v>
      </c>
      <c r="K152" s="52">
        <v>0</v>
      </c>
      <c r="L152" s="52">
        <v>0</v>
      </c>
      <c r="M152" s="52">
        <v>0</v>
      </c>
      <c r="N152" s="52">
        <v>0</v>
      </c>
      <c r="O152" s="52">
        <v>0</v>
      </c>
      <c r="P152" s="52">
        <v>0</v>
      </c>
      <c r="Q152" s="52">
        <v>0</v>
      </c>
      <c r="R152" s="52">
        <v>0</v>
      </c>
      <c r="S152" s="52">
        <v>48942.34</v>
      </c>
      <c r="T152" s="52"/>
      <c r="U152" s="52">
        <f>ROUND(SUM(H152:T152),5)</f>
        <v>48942.34</v>
      </c>
      <c r="V152" s="52">
        <v>0</v>
      </c>
      <c r="W152" s="52">
        <v>0</v>
      </c>
      <c r="X152" s="68" t="s">
        <v>205</v>
      </c>
      <c r="AB152" s="86"/>
      <c r="AC152" s="86"/>
      <c r="AD152" s="86"/>
      <c r="AE152" s="86"/>
      <c r="AF152" s="86"/>
      <c r="AG152" s="86" t="s">
        <v>179</v>
      </c>
      <c r="AH152" s="90"/>
      <c r="AI152" s="90"/>
      <c r="AJ152" s="90"/>
      <c r="AK152" s="90"/>
      <c r="AL152" s="90">
        <v>0</v>
      </c>
      <c r="AM152" s="90">
        <v>0</v>
      </c>
      <c r="AN152" s="90">
        <v>0</v>
      </c>
      <c r="AO152" s="90">
        <v>0</v>
      </c>
      <c r="AP152" s="90">
        <v>0</v>
      </c>
      <c r="AQ152" s="90">
        <v>0</v>
      </c>
      <c r="AR152" s="90">
        <v>0</v>
      </c>
      <c r="AS152" s="90">
        <v>0</v>
      </c>
      <c r="AT152" s="90">
        <v>0</v>
      </c>
      <c r="AU152" s="90">
        <v>0</v>
      </c>
      <c r="AV152" s="90">
        <v>0</v>
      </c>
      <c r="AW152" s="90">
        <v>50812.91</v>
      </c>
      <c r="AX152" s="90"/>
      <c r="AY152" s="91">
        <f>ROUND(SUM(AH152:AX152),5)</f>
        <v>50812.91</v>
      </c>
      <c r="AZ152" s="91">
        <v>0</v>
      </c>
      <c r="BA152" s="91">
        <v>0</v>
      </c>
      <c r="BB152" s="92" t="s">
        <v>205</v>
      </c>
    </row>
    <row r="153" spans="1:56" x14ac:dyDescent="0.3">
      <c r="A153" s="50"/>
      <c r="B153" s="50"/>
      <c r="C153" s="50"/>
      <c r="D153" s="50"/>
      <c r="E153" s="50"/>
      <c r="F153" s="50" t="s">
        <v>180</v>
      </c>
      <c r="G153" s="50"/>
      <c r="H153" s="51">
        <f t="shared" ref="H153:P153" si="44">ROUND(SUM(H151:H152),5)</f>
        <v>0</v>
      </c>
      <c r="I153" s="51">
        <f t="shared" si="44"/>
        <v>0</v>
      </c>
      <c r="J153" s="51">
        <f t="shared" si="44"/>
        <v>0</v>
      </c>
      <c r="K153" s="51">
        <f t="shared" si="44"/>
        <v>0</v>
      </c>
      <c r="L153" s="51">
        <f t="shared" si="44"/>
        <v>0</v>
      </c>
      <c r="M153" s="51">
        <f t="shared" si="44"/>
        <v>0</v>
      </c>
      <c r="N153" s="51">
        <f t="shared" si="44"/>
        <v>0</v>
      </c>
      <c r="O153" s="51">
        <f t="shared" si="44"/>
        <v>0</v>
      </c>
      <c r="P153" s="51">
        <f t="shared" si="44"/>
        <v>0</v>
      </c>
      <c r="Q153" s="51">
        <f>ROUND(SUM(Q151:Q152),5)</f>
        <v>0</v>
      </c>
      <c r="R153" s="51">
        <f>ROUND(SUM(R151:R152),5)</f>
        <v>0</v>
      </c>
      <c r="S153" s="51">
        <f>ROUND(SUM(S151:S152),5)</f>
        <v>48942.34</v>
      </c>
      <c r="T153" s="51"/>
      <c r="U153" s="51">
        <f>ROUND(SUM(H153:T153),5)</f>
        <v>48942.34</v>
      </c>
      <c r="V153" s="51">
        <f>ROUND(SUM(V151:V152),5)</f>
        <v>0</v>
      </c>
      <c r="W153" s="51">
        <f>ROUND(SUM(W151:W152),5)</f>
        <v>0</v>
      </c>
      <c r="AB153" s="86"/>
      <c r="AC153" s="86"/>
      <c r="AD153" s="86"/>
      <c r="AE153" s="86"/>
      <c r="AF153" s="86" t="s">
        <v>180</v>
      </c>
      <c r="AG153" s="86"/>
      <c r="AH153" s="87"/>
      <c r="AI153" s="87"/>
      <c r="AJ153" s="87"/>
      <c r="AK153" s="87"/>
      <c r="AL153" s="87">
        <f t="shared" ref="AL153:AW153" si="45">ROUND(SUM(AL151:AL152),5)</f>
        <v>0</v>
      </c>
      <c r="AM153" s="87">
        <f t="shared" si="45"/>
        <v>0</v>
      </c>
      <c r="AN153" s="87">
        <f t="shared" si="45"/>
        <v>0</v>
      </c>
      <c r="AO153" s="87">
        <f t="shared" si="45"/>
        <v>0</v>
      </c>
      <c r="AP153" s="87">
        <f t="shared" si="45"/>
        <v>0</v>
      </c>
      <c r="AQ153" s="87">
        <f t="shared" si="45"/>
        <v>0</v>
      </c>
      <c r="AR153" s="87">
        <f t="shared" si="45"/>
        <v>0</v>
      </c>
      <c r="AS153" s="87">
        <f t="shared" si="45"/>
        <v>0</v>
      </c>
      <c r="AT153" s="87">
        <f t="shared" si="45"/>
        <v>0</v>
      </c>
      <c r="AU153" s="87">
        <f t="shared" si="45"/>
        <v>0</v>
      </c>
      <c r="AV153" s="87">
        <f t="shared" si="45"/>
        <v>0</v>
      </c>
      <c r="AW153" s="87">
        <f t="shared" si="45"/>
        <v>50812.91</v>
      </c>
      <c r="AX153" s="87"/>
      <c r="AY153" s="88">
        <f>ROUND(SUM(AH153:AX153),5)</f>
        <v>50812.91</v>
      </c>
      <c r="AZ153" s="88">
        <f>ROUND(SUM(AZ151:AZ152),5)</f>
        <v>0</v>
      </c>
      <c r="BA153" s="88">
        <f>ROUND(SUM(BA151:BA152),5)</f>
        <v>0</v>
      </c>
      <c r="BB153" s="89"/>
    </row>
    <row r="154" spans="1:56" ht="15" thickBot="1" x14ac:dyDescent="0.35">
      <c r="A154" s="50"/>
      <c r="B154" s="50"/>
      <c r="C154" s="50"/>
      <c r="D154" s="50"/>
      <c r="E154" s="50"/>
      <c r="F154" s="50" t="s">
        <v>181</v>
      </c>
      <c r="G154" s="50"/>
      <c r="H154" s="52">
        <v>342.65</v>
      </c>
      <c r="I154" s="52">
        <v>153.12</v>
      </c>
      <c r="J154" s="52">
        <v>0</v>
      </c>
      <c r="K154" s="52">
        <v>299.86</v>
      </c>
      <c r="L154" s="52">
        <v>306.24</v>
      </c>
      <c r="M154" s="52">
        <v>542.07000000000005</v>
      </c>
      <c r="N154" s="52">
        <v>-96.88</v>
      </c>
      <c r="O154" s="52">
        <v>0</v>
      </c>
      <c r="P154" s="52">
        <v>243.32</v>
      </c>
      <c r="Q154" s="52">
        <v>606.1</v>
      </c>
      <c r="R154" s="52">
        <v>-5</v>
      </c>
      <c r="S154" s="52">
        <v>400</v>
      </c>
      <c r="T154" s="52"/>
      <c r="U154" s="52">
        <f>ROUND(SUM(H154:T154),5)</f>
        <v>2791.48</v>
      </c>
      <c r="V154" s="52">
        <v>4000</v>
      </c>
      <c r="W154" s="52">
        <v>4000</v>
      </c>
      <c r="AA154" s="56"/>
      <c r="AB154" s="86"/>
      <c r="AC154" s="86"/>
      <c r="AD154" s="86"/>
      <c r="AE154" s="86" t="s">
        <v>182</v>
      </c>
      <c r="AF154" s="86" t="s">
        <v>181</v>
      </c>
      <c r="AG154" s="86"/>
      <c r="AH154" s="90"/>
      <c r="AI154" s="90"/>
      <c r="AJ154" s="90"/>
      <c r="AK154" s="90"/>
      <c r="AL154" s="90">
        <v>298.70999999999998</v>
      </c>
      <c r="AM154" s="90">
        <v>172.26</v>
      </c>
      <c r="AN154" s="90">
        <v>191.39</v>
      </c>
      <c r="AO154" s="90">
        <v>0</v>
      </c>
      <c r="AP154" s="90">
        <v>0</v>
      </c>
      <c r="AQ154" s="90">
        <v>689.18</v>
      </c>
      <c r="AR154" s="90">
        <v>484.71</v>
      </c>
      <c r="AS154" s="90">
        <v>0</v>
      </c>
      <c r="AT154" s="90">
        <v>357.28</v>
      </c>
      <c r="AU154" s="90">
        <v>185.02</v>
      </c>
      <c r="AV154" s="90">
        <v>241.33</v>
      </c>
      <c r="AW154" s="90">
        <v>416.65</v>
      </c>
      <c r="AX154" s="90"/>
      <c r="AY154" s="91">
        <f>ROUND(SUM(AH154:AX154),5)</f>
        <v>3036.53</v>
      </c>
      <c r="AZ154" s="91">
        <v>4000</v>
      </c>
      <c r="BA154" s="91">
        <v>4000</v>
      </c>
      <c r="BB154" s="92"/>
    </row>
    <row r="155" spans="1:56" x14ac:dyDescent="0.3">
      <c r="A155" s="50"/>
      <c r="B155" s="50"/>
      <c r="C155" s="50"/>
      <c r="D155" s="50"/>
      <c r="E155" s="50" t="s">
        <v>182</v>
      </c>
      <c r="F155" s="50"/>
      <c r="G155" s="50"/>
      <c r="H155" s="51">
        <f t="shared" ref="H155:P155" si="46">ROUND(H150+SUM(H153:H154),5)</f>
        <v>342.65</v>
      </c>
      <c r="I155" s="51">
        <f t="shared" si="46"/>
        <v>153.12</v>
      </c>
      <c r="J155" s="51">
        <f t="shared" si="46"/>
        <v>0</v>
      </c>
      <c r="K155" s="51">
        <f t="shared" si="46"/>
        <v>299.86</v>
      </c>
      <c r="L155" s="51">
        <f t="shared" si="46"/>
        <v>306.24</v>
      </c>
      <c r="M155" s="51">
        <f t="shared" si="46"/>
        <v>542.07000000000005</v>
      </c>
      <c r="N155" s="51">
        <f t="shared" si="46"/>
        <v>-96.88</v>
      </c>
      <c r="O155" s="51">
        <f t="shared" si="46"/>
        <v>0</v>
      </c>
      <c r="P155" s="51">
        <f t="shared" si="46"/>
        <v>243.32</v>
      </c>
      <c r="Q155" s="51">
        <f>ROUND(Q150+SUM(Q153:Q154),5)</f>
        <v>606.1</v>
      </c>
      <c r="R155" s="51">
        <f>ROUND(R150+SUM(R153:R154),5)</f>
        <v>-5</v>
      </c>
      <c r="S155" s="51">
        <f>ROUND(S150+SUM(S153:S154),5)</f>
        <v>49342.34</v>
      </c>
      <c r="T155" s="51"/>
      <c r="U155" s="51">
        <f>ROUND(SUM(H155:T155),5)</f>
        <v>51733.82</v>
      </c>
      <c r="V155" s="51">
        <f>ROUND(V150+SUM(V153:V154),5)</f>
        <v>4000</v>
      </c>
      <c r="W155" s="51">
        <f>ROUND(W150+SUM(W153:W154),5)</f>
        <v>4000</v>
      </c>
      <c r="AB155" s="86"/>
      <c r="AC155" s="86"/>
      <c r="AD155" s="86"/>
      <c r="AE155" s="86" t="s">
        <v>183</v>
      </c>
      <c r="AF155" s="86"/>
      <c r="AG155" s="86"/>
      <c r="AH155" s="87"/>
      <c r="AI155" s="87"/>
      <c r="AJ155" s="87"/>
      <c r="AK155" s="87"/>
      <c r="AL155" s="87">
        <f t="shared" ref="AL155:AW155" si="47">ROUND(AL150+SUM(AL153:AL154),5)</f>
        <v>298.70999999999998</v>
      </c>
      <c r="AM155" s="87">
        <f t="shared" si="47"/>
        <v>172.26</v>
      </c>
      <c r="AN155" s="87">
        <f t="shared" si="47"/>
        <v>191.39</v>
      </c>
      <c r="AO155" s="87">
        <f t="shared" si="47"/>
        <v>0</v>
      </c>
      <c r="AP155" s="87">
        <f t="shared" si="47"/>
        <v>0</v>
      </c>
      <c r="AQ155" s="87">
        <f t="shared" si="47"/>
        <v>689.18</v>
      </c>
      <c r="AR155" s="87">
        <f t="shared" si="47"/>
        <v>484.71</v>
      </c>
      <c r="AS155" s="87">
        <f t="shared" si="47"/>
        <v>0</v>
      </c>
      <c r="AT155" s="87">
        <f t="shared" si="47"/>
        <v>357.28</v>
      </c>
      <c r="AU155" s="87">
        <f t="shared" si="47"/>
        <v>185.02</v>
      </c>
      <c r="AV155" s="87">
        <f t="shared" si="47"/>
        <v>241.33</v>
      </c>
      <c r="AW155" s="87">
        <f t="shared" si="47"/>
        <v>51229.56</v>
      </c>
      <c r="AX155" s="87"/>
      <c r="AY155" s="88">
        <f>ROUND(SUM(AH155:AX155),5)</f>
        <v>53849.440000000002</v>
      </c>
      <c r="AZ155" s="88">
        <f>ROUND(AZ150+SUM(AZ153:AZ154),5)</f>
        <v>4000</v>
      </c>
      <c r="BA155" s="88">
        <f>ROUND(BA150+SUM(BA153:BA154),5)</f>
        <v>4000</v>
      </c>
      <c r="BB155" s="89"/>
      <c r="BC155" s="56"/>
    </row>
    <row r="156" spans="1:56" x14ac:dyDescent="0.3">
      <c r="A156" s="50"/>
      <c r="B156" s="50"/>
      <c r="C156" s="50"/>
      <c r="D156" s="50"/>
      <c r="E156" s="50" t="s">
        <v>183</v>
      </c>
      <c r="F156" s="50"/>
      <c r="G156" s="50"/>
      <c r="H156" s="51"/>
      <c r="I156" s="51"/>
      <c r="J156" s="51"/>
      <c r="K156" s="51"/>
      <c r="L156" s="51"/>
      <c r="M156" s="51"/>
      <c r="N156" s="51"/>
      <c r="O156" s="51"/>
      <c r="P156" s="51"/>
      <c r="Q156" s="51"/>
      <c r="R156" s="51"/>
      <c r="S156" s="51"/>
      <c r="T156" s="51"/>
      <c r="U156" s="51"/>
      <c r="V156" s="51"/>
      <c r="W156" s="51"/>
      <c r="AB156" s="86"/>
      <c r="AC156" s="86"/>
      <c r="AD156" s="86"/>
      <c r="AE156" s="86"/>
      <c r="AF156" s="86"/>
      <c r="AG156" s="86"/>
      <c r="AH156" s="87"/>
      <c r="AI156" s="87"/>
      <c r="AJ156" s="87"/>
      <c r="AK156" s="87"/>
      <c r="AL156" s="87"/>
      <c r="AM156" s="87"/>
      <c r="AN156" s="87"/>
      <c r="AO156" s="87"/>
      <c r="AP156" s="87"/>
      <c r="AQ156" s="87"/>
      <c r="AR156" s="87"/>
      <c r="AS156" s="87"/>
      <c r="AT156" s="87"/>
      <c r="AU156" s="87"/>
      <c r="AV156" s="87"/>
      <c r="AW156" s="87"/>
      <c r="AX156" s="87"/>
      <c r="AY156" s="88"/>
      <c r="AZ156" s="88"/>
      <c r="BA156" s="88"/>
      <c r="BB156" s="89"/>
      <c r="BD156" s="56"/>
    </row>
    <row r="157" spans="1:56" x14ac:dyDescent="0.3">
      <c r="A157" s="50"/>
      <c r="B157" s="50"/>
      <c r="C157" s="50"/>
      <c r="D157" s="50"/>
      <c r="E157" s="50"/>
      <c r="F157" s="50" t="s">
        <v>184</v>
      </c>
      <c r="G157" s="50"/>
      <c r="H157" s="51"/>
      <c r="I157" s="51"/>
      <c r="J157" s="51"/>
      <c r="K157" s="51"/>
      <c r="L157" s="51"/>
      <c r="M157" s="51"/>
      <c r="N157" s="51"/>
      <c r="O157" s="51"/>
      <c r="P157" s="51"/>
      <c r="Q157" s="51"/>
      <c r="R157" s="51"/>
      <c r="S157" s="51"/>
      <c r="T157" s="51"/>
      <c r="U157" s="51"/>
      <c r="V157" s="51"/>
      <c r="W157" s="51"/>
      <c r="AB157" s="86"/>
      <c r="AC157" s="86"/>
      <c r="AD157" s="86"/>
      <c r="AE157" s="86"/>
      <c r="AF157" s="86" t="s">
        <v>184</v>
      </c>
      <c r="AG157" s="86"/>
      <c r="AH157" s="87"/>
      <c r="AI157" s="87"/>
      <c r="AJ157" s="87"/>
      <c r="AK157" s="87"/>
      <c r="AL157" s="87"/>
      <c r="AM157" s="87"/>
      <c r="AN157" s="87"/>
      <c r="AO157" s="87"/>
      <c r="AP157" s="87"/>
      <c r="AQ157" s="87"/>
      <c r="AR157" s="87"/>
      <c r="AS157" s="87"/>
      <c r="AT157" s="87"/>
      <c r="AU157" s="87"/>
      <c r="AV157" s="87"/>
      <c r="AW157" s="87"/>
      <c r="AX157" s="87"/>
      <c r="AY157" s="88"/>
      <c r="AZ157" s="88"/>
      <c r="BA157" s="88"/>
      <c r="BB157" s="89"/>
    </row>
    <row r="158" spans="1:56" x14ac:dyDescent="0.3">
      <c r="A158" s="50"/>
      <c r="B158" s="50"/>
      <c r="C158" s="50"/>
      <c r="D158" s="50"/>
      <c r="E158" s="50"/>
      <c r="F158" s="50"/>
      <c r="G158" s="50" t="s">
        <v>201</v>
      </c>
      <c r="H158" s="51">
        <v>0</v>
      </c>
      <c r="I158" s="51">
        <v>0</v>
      </c>
      <c r="J158" s="51">
        <v>0</v>
      </c>
      <c r="K158" s="51">
        <v>0</v>
      </c>
      <c r="L158" s="51">
        <v>0</v>
      </c>
      <c r="M158" s="51">
        <v>0</v>
      </c>
      <c r="N158" s="51">
        <v>0</v>
      </c>
      <c r="O158" s="51">
        <v>0</v>
      </c>
      <c r="P158" s="51">
        <v>0</v>
      </c>
      <c r="Q158" s="51">
        <v>0</v>
      </c>
      <c r="R158" s="51">
        <v>0</v>
      </c>
      <c r="S158" s="51">
        <v>0</v>
      </c>
      <c r="T158" s="51"/>
      <c r="U158" s="51">
        <v>0</v>
      </c>
      <c r="V158" s="67">
        <v>100000</v>
      </c>
      <c r="W158" s="67">
        <v>100000</v>
      </c>
      <c r="AB158" s="86"/>
      <c r="AC158" s="86"/>
      <c r="AD158" s="86"/>
      <c r="AE158" s="86"/>
      <c r="AF158" s="86"/>
      <c r="AG158" s="86" t="s">
        <v>201</v>
      </c>
      <c r="AH158" s="87"/>
      <c r="AI158" s="87"/>
      <c r="AJ158" s="87"/>
      <c r="AK158" s="87"/>
      <c r="AL158" s="87">
        <v>0</v>
      </c>
      <c r="AM158" s="87">
        <v>0</v>
      </c>
      <c r="AN158" s="87">
        <v>0</v>
      </c>
      <c r="AO158" s="87">
        <v>0</v>
      </c>
      <c r="AP158" s="87">
        <v>0</v>
      </c>
      <c r="AQ158" s="87">
        <v>0</v>
      </c>
      <c r="AR158" s="87">
        <v>0</v>
      </c>
      <c r="AS158" s="87">
        <v>0</v>
      </c>
      <c r="AT158" s="87">
        <v>0</v>
      </c>
      <c r="AU158" s="87">
        <v>0</v>
      </c>
      <c r="AV158" s="87">
        <v>0</v>
      </c>
      <c r="AW158" s="87">
        <v>0</v>
      </c>
      <c r="AX158" s="87"/>
      <c r="AY158" s="88">
        <f>ROUND(SUM(AH158:AX158),5)</f>
        <v>0</v>
      </c>
      <c r="AZ158" s="88">
        <v>100000</v>
      </c>
      <c r="BA158" s="88">
        <v>100000</v>
      </c>
      <c r="BB158" s="89"/>
    </row>
    <row r="159" spans="1:56" x14ac:dyDescent="0.3">
      <c r="A159" s="50"/>
      <c r="B159" s="50"/>
      <c r="C159" s="50"/>
      <c r="D159" s="50"/>
      <c r="E159" s="50"/>
      <c r="F159" s="50"/>
      <c r="G159" s="50" t="s">
        <v>202</v>
      </c>
      <c r="H159" s="51">
        <v>0</v>
      </c>
      <c r="I159" s="51">
        <v>0</v>
      </c>
      <c r="J159" s="51">
        <v>0</v>
      </c>
      <c r="K159" s="51">
        <v>0</v>
      </c>
      <c r="L159" s="51">
        <v>0</v>
      </c>
      <c r="M159" s="51">
        <v>0</v>
      </c>
      <c r="N159" s="51">
        <v>0</v>
      </c>
      <c r="O159" s="51">
        <v>1900</v>
      </c>
      <c r="P159" s="51">
        <v>0</v>
      </c>
      <c r="Q159" s="51">
        <v>0</v>
      </c>
      <c r="R159" s="51">
        <v>0</v>
      </c>
      <c r="S159" s="51">
        <v>0</v>
      </c>
      <c r="T159" s="51"/>
      <c r="U159" s="51">
        <f>ROUND(SUM(H159:T159),5)</f>
        <v>1900</v>
      </c>
      <c r="V159" s="67">
        <v>6000</v>
      </c>
      <c r="W159" s="67">
        <v>6000</v>
      </c>
      <c r="AB159" s="86"/>
      <c r="AC159" s="86"/>
      <c r="AD159" s="86"/>
      <c r="AE159" s="86"/>
      <c r="AF159" s="86"/>
      <c r="AG159" s="86" t="s">
        <v>202</v>
      </c>
      <c r="AH159" s="87"/>
      <c r="AI159" s="87"/>
      <c r="AJ159" s="87"/>
      <c r="AK159" s="87"/>
      <c r="AL159" s="87">
        <v>0</v>
      </c>
      <c r="AM159" s="87">
        <v>0</v>
      </c>
      <c r="AN159" s="87">
        <v>0</v>
      </c>
      <c r="AO159" s="87">
        <v>0</v>
      </c>
      <c r="AP159" s="87">
        <v>0</v>
      </c>
      <c r="AQ159" s="87">
        <v>0</v>
      </c>
      <c r="AR159" s="87">
        <v>0</v>
      </c>
      <c r="AS159" s="87">
        <v>0</v>
      </c>
      <c r="AT159" s="87">
        <v>0</v>
      </c>
      <c r="AU159" s="87">
        <v>0</v>
      </c>
      <c r="AV159" s="87">
        <v>0</v>
      </c>
      <c r="AW159" s="87">
        <v>0</v>
      </c>
      <c r="AX159" s="87"/>
      <c r="AY159" s="88">
        <f>ROUND(SUM(AH159:AX159),5)</f>
        <v>0</v>
      </c>
      <c r="AZ159" s="88">
        <v>6000</v>
      </c>
      <c r="BA159" s="88">
        <v>6000</v>
      </c>
      <c r="BB159" s="89"/>
    </row>
    <row r="160" spans="1:56" x14ac:dyDescent="0.3">
      <c r="A160" s="50"/>
      <c r="B160" s="50"/>
      <c r="C160" s="50"/>
      <c r="D160" s="50"/>
      <c r="E160" s="50"/>
      <c r="F160" s="50"/>
      <c r="G160" s="50" t="s">
        <v>185</v>
      </c>
      <c r="H160" s="51">
        <v>0</v>
      </c>
      <c r="I160" s="51">
        <v>0</v>
      </c>
      <c r="J160" s="51">
        <v>0</v>
      </c>
      <c r="K160" s="51">
        <v>0</v>
      </c>
      <c r="L160" s="51">
        <v>0</v>
      </c>
      <c r="M160" s="51">
        <v>0</v>
      </c>
      <c r="N160" s="51">
        <v>0</v>
      </c>
      <c r="O160" s="51">
        <v>0</v>
      </c>
      <c r="P160" s="51">
        <v>0</v>
      </c>
      <c r="Q160" s="51">
        <v>0</v>
      </c>
      <c r="R160" s="51">
        <v>0</v>
      </c>
      <c r="S160" s="51">
        <v>0</v>
      </c>
      <c r="T160" s="51"/>
      <c r="U160" s="51">
        <v>0</v>
      </c>
      <c r="V160" s="67">
        <v>7500</v>
      </c>
      <c r="W160" s="67">
        <v>7500</v>
      </c>
      <c r="AB160" s="86"/>
      <c r="AC160" s="86"/>
      <c r="AD160" s="86"/>
      <c r="AE160" s="86"/>
      <c r="AF160" s="86"/>
      <c r="AG160" s="86" t="s">
        <v>185</v>
      </c>
      <c r="AH160" s="87"/>
      <c r="AI160" s="87"/>
      <c r="AJ160" s="87"/>
      <c r="AK160" s="87"/>
      <c r="AL160" s="87">
        <v>0</v>
      </c>
      <c r="AM160" s="87">
        <v>0</v>
      </c>
      <c r="AN160" s="87">
        <v>0</v>
      </c>
      <c r="AO160" s="87">
        <v>0</v>
      </c>
      <c r="AP160" s="87">
        <v>0</v>
      </c>
      <c r="AQ160" s="87">
        <v>0</v>
      </c>
      <c r="AR160" s="87">
        <v>0</v>
      </c>
      <c r="AS160" s="87">
        <v>0</v>
      </c>
      <c r="AT160" s="87">
        <v>0</v>
      </c>
      <c r="AU160" s="87">
        <v>0</v>
      </c>
      <c r="AV160" s="87">
        <v>0</v>
      </c>
      <c r="AW160" s="87">
        <v>0</v>
      </c>
      <c r="AX160" s="87"/>
      <c r="AY160" s="88">
        <f>ROUND(SUM(AH160:AX160),5)</f>
        <v>0</v>
      </c>
      <c r="AZ160" s="88">
        <v>7500</v>
      </c>
      <c r="BA160" s="88">
        <v>7500</v>
      </c>
      <c r="BB160" s="89"/>
    </row>
    <row r="161" spans="1:56" ht="15" thickBot="1" x14ac:dyDescent="0.35">
      <c r="A161" s="50"/>
      <c r="B161" s="50"/>
      <c r="C161" s="50"/>
      <c r="D161" s="50"/>
      <c r="E161" s="50"/>
      <c r="F161" s="50"/>
      <c r="G161" s="50" t="s">
        <v>239</v>
      </c>
      <c r="H161" s="51">
        <v>0</v>
      </c>
      <c r="I161" s="51">
        <v>0</v>
      </c>
      <c r="J161" s="51">
        <v>0</v>
      </c>
      <c r="K161" s="51">
        <v>0</v>
      </c>
      <c r="L161" s="51">
        <v>0</v>
      </c>
      <c r="M161" s="51">
        <v>0</v>
      </c>
      <c r="N161" s="51">
        <v>0</v>
      </c>
      <c r="O161" s="51">
        <v>0</v>
      </c>
      <c r="P161" s="51">
        <v>0</v>
      </c>
      <c r="Q161" s="51">
        <v>0</v>
      </c>
      <c r="R161" s="51">
        <v>0</v>
      </c>
      <c r="S161" s="51">
        <v>0</v>
      </c>
      <c r="T161" s="51"/>
      <c r="U161" s="51">
        <v>0</v>
      </c>
      <c r="V161" s="67">
        <v>6000</v>
      </c>
      <c r="W161" s="67">
        <v>6000</v>
      </c>
      <c r="AB161" s="86"/>
      <c r="AC161" s="86"/>
      <c r="AD161" s="86"/>
      <c r="AE161" s="86"/>
      <c r="AF161" s="86"/>
      <c r="AG161" s="86" t="s">
        <v>239</v>
      </c>
      <c r="AH161" s="87"/>
      <c r="AI161" s="87"/>
      <c r="AJ161" s="87"/>
      <c r="AK161" s="87"/>
      <c r="AL161" s="87">
        <v>0</v>
      </c>
      <c r="AM161" s="87">
        <v>0</v>
      </c>
      <c r="AN161" s="87">
        <v>0</v>
      </c>
      <c r="AO161" s="87">
        <v>0</v>
      </c>
      <c r="AP161" s="87">
        <v>0</v>
      </c>
      <c r="AQ161" s="87">
        <v>0</v>
      </c>
      <c r="AR161" s="87">
        <v>0</v>
      </c>
      <c r="AS161" s="87">
        <v>0</v>
      </c>
      <c r="AT161" s="87">
        <v>0</v>
      </c>
      <c r="AU161" s="87">
        <v>0</v>
      </c>
      <c r="AV161" s="87">
        <v>0</v>
      </c>
      <c r="AW161" s="87">
        <v>0</v>
      </c>
      <c r="AX161" s="87"/>
      <c r="AY161" s="88">
        <f>ROUND(SUM(AH161:AX161),5)</f>
        <v>0</v>
      </c>
      <c r="AZ161" s="88">
        <v>6000</v>
      </c>
      <c r="BA161" s="88">
        <v>6000</v>
      </c>
      <c r="BB161" s="89"/>
    </row>
    <row r="162" spans="1:56" ht="15" thickBot="1" x14ac:dyDescent="0.35">
      <c r="A162" s="50"/>
      <c r="B162" s="50"/>
      <c r="C162" s="50"/>
      <c r="D162" s="50"/>
      <c r="E162" s="50"/>
      <c r="F162" s="50" t="s">
        <v>186</v>
      </c>
      <c r="G162" s="50"/>
      <c r="H162" s="53">
        <f t="shared" ref="H162:S162" si="48">ROUND(SUM(H157:H159),5)</f>
        <v>0</v>
      </c>
      <c r="I162" s="53">
        <f t="shared" si="48"/>
        <v>0</v>
      </c>
      <c r="J162" s="53">
        <f t="shared" si="48"/>
        <v>0</v>
      </c>
      <c r="K162" s="53">
        <f t="shared" si="48"/>
        <v>0</v>
      </c>
      <c r="L162" s="53">
        <f t="shared" si="48"/>
        <v>0</v>
      </c>
      <c r="M162" s="53">
        <f t="shared" si="48"/>
        <v>0</v>
      </c>
      <c r="N162" s="53">
        <f t="shared" si="48"/>
        <v>0</v>
      </c>
      <c r="O162" s="53">
        <f t="shared" si="48"/>
        <v>1900</v>
      </c>
      <c r="P162" s="53">
        <f t="shared" si="48"/>
        <v>0</v>
      </c>
      <c r="Q162" s="53">
        <f t="shared" si="48"/>
        <v>0</v>
      </c>
      <c r="R162" s="53">
        <f t="shared" si="48"/>
        <v>0</v>
      </c>
      <c r="S162" s="53">
        <f t="shared" si="48"/>
        <v>0</v>
      </c>
      <c r="T162" s="53"/>
      <c r="U162" s="53">
        <f>ROUND(SUM(H162:T162),5)</f>
        <v>1900</v>
      </c>
      <c r="V162" s="53">
        <f>ROUND(SUM(V157:V161),5)</f>
        <v>119500</v>
      </c>
      <c r="W162" s="53">
        <f>ROUND(SUM(W157:W161),5)</f>
        <v>119500</v>
      </c>
      <c r="AB162" s="86"/>
      <c r="AC162" s="86"/>
      <c r="AD162" s="86"/>
      <c r="AE162" s="86"/>
      <c r="AF162" s="86" t="s">
        <v>186</v>
      </c>
      <c r="AG162" s="86"/>
      <c r="AH162" s="93"/>
      <c r="AI162" s="93"/>
      <c r="AJ162" s="93"/>
      <c r="AK162" s="93"/>
      <c r="AL162" s="93">
        <f t="shared" ref="AL162:AW162" si="49">ROUND(SUM(AL157:AL161),5)</f>
        <v>0</v>
      </c>
      <c r="AM162" s="93">
        <f t="shared" si="49"/>
        <v>0</v>
      </c>
      <c r="AN162" s="93">
        <f t="shared" si="49"/>
        <v>0</v>
      </c>
      <c r="AO162" s="93">
        <f t="shared" si="49"/>
        <v>0</v>
      </c>
      <c r="AP162" s="93">
        <f t="shared" si="49"/>
        <v>0</v>
      </c>
      <c r="AQ162" s="93">
        <f t="shared" si="49"/>
        <v>0</v>
      </c>
      <c r="AR162" s="93">
        <f t="shared" si="49"/>
        <v>0</v>
      </c>
      <c r="AS162" s="93">
        <f t="shared" si="49"/>
        <v>0</v>
      </c>
      <c r="AT162" s="93">
        <f t="shared" si="49"/>
        <v>0</v>
      </c>
      <c r="AU162" s="93">
        <f t="shared" si="49"/>
        <v>0</v>
      </c>
      <c r="AV162" s="93">
        <f t="shared" si="49"/>
        <v>0</v>
      </c>
      <c r="AW162" s="93">
        <f t="shared" si="49"/>
        <v>0</v>
      </c>
      <c r="AX162" s="93"/>
      <c r="AY162" s="94">
        <f>ROUND(SUM(AH162:AX162),5)</f>
        <v>0</v>
      </c>
      <c r="AZ162" s="94">
        <f>ROUND(SUM(AZ157:AZ161),5)</f>
        <v>119500</v>
      </c>
      <c r="BA162" s="94">
        <f>ROUND(SUM(BA157:BA161),5)</f>
        <v>119500</v>
      </c>
      <c r="BB162" s="95"/>
    </row>
    <row r="163" spans="1:56" x14ac:dyDescent="0.3">
      <c r="A163" s="50"/>
      <c r="B163" s="50"/>
      <c r="C163" s="50"/>
      <c r="D163" s="50"/>
      <c r="E163" s="50"/>
      <c r="F163" s="50" t="s">
        <v>187</v>
      </c>
      <c r="G163" s="50"/>
      <c r="H163" s="51"/>
      <c r="I163" s="51"/>
      <c r="J163" s="51"/>
      <c r="K163" s="51"/>
      <c r="L163" s="51"/>
      <c r="M163" s="51"/>
      <c r="N163" s="51"/>
      <c r="O163" s="51"/>
      <c r="P163" s="51"/>
      <c r="Q163" s="51"/>
      <c r="R163" s="51"/>
      <c r="S163" s="51"/>
      <c r="T163" s="51"/>
      <c r="U163" s="51"/>
      <c r="V163" s="51"/>
      <c r="W163" s="51"/>
      <c r="AB163" s="86"/>
      <c r="AC163" s="86"/>
      <c r="AD163" s="86"/>
      <c r="AE163" s="86"/>
      <c r="AF163" s="86" t="s">
        <v>187</v>
      </c>
      <c r="AG163" s="86"/>
      <c r="AH163" s="87"/>
      <c r="AI163" s="87"/>
      <c r="AJ163" s="87"/>
      <c r="AK163" s="87"/>
      <c r="AL163" s="87"/>
      <c r="AM163" s="87"/>
      <c r="AN163" s="87"/>
      <c r="AO163" s="87"/>
      <c r="AP163" s="87"/>
      <c r="AQ163" s="87"/>
      <c r="AR163" s="87"/>
      <c r="AS163" s="87"/>
      <c r="AT163" s="87"/>
      <c r="AU163" s="87"/>
      <c r="AV163" s="87"/>
      <c r="AW163" s="87"/>
      <c r="AX163" s="87"/>
      <c r="AY163" s="88"/>
      <c r="AZ163" s="88"/>
      <c r="BA163" s="88"/>
      <c r="BB163" s="89"/>
    </row>
    <row r="164" spans="1:56" ht="15" thickBot="1" x14ac:dyDescent="0.35">
      <c r="A164" s="50"/>
      <c r="B164" s="50"/>
      <c r="C164" s="50"/>
      <c r="D164" s="50"/>
      <c r="E164" s="50"/>
      <c r="F164" s="50"/>
      <c r="G164" s="50" t="s">
        <v>188</v>
      </c>
      <c r="H164" s="52">
        <v>6935</v>
      </c>
      <c r="I164" s="52">
        <v>1357</v>
      </c>
      <c r="J164" s="52">
        <v>0</v>
      </c>
      <c r="K164" s="52">
        <v>0</v>
      </c>
      <c r="L164" s="52">
        <v>0</v>
      </c>
      <c r="M164" s="52">
        <v>0</v>
      </c>
      <c r="N164" s="52">
        <v>0</v>
      </c>
      <c r="O164" s="52">
        <v>0</v>
      </c>
      <c r="P164" s="52">
        <v>355787.84</v>
      </c>
      <c r="Q164" s="52">
        <v>9486.81</v>
      </c>
      <c r="R164" s="52">
        <v>261853.25</v>
      </c>
      <c r="S164" s="52">
        <v>350000</v>
      </c>
      <c r="T164" s="52"/>
      <c r="U164" s="52">
        <f>ROUND(SUM(H164:T164),5)</f>
        <v>985419.9</v>
      </c>
      <c r="V164" s="52">
        <v>150000</v>
      </c>
      <c r="W164" s="114">
        <v>1600000</v>
      </c>
      <c r="X164" s="68" t="s">
        <v>298</v>
      </c>
      <c r="AB164" s="86"/>
      <c r="AC164" s="86"/>
      <c r="AD164" s="86"/>
      <c r="AE164" s="86"/>
      <c r="AF164" s="86"/>
      <c r="AG164" s="86" t="s">
        <v>188</v>
      </c>
      <c r="AH164" s="90"/>
      <c r="AI164" s="90"/>
      <c r="AJ164" s="90"/>
      <c r="AK164" s="90"/>
      <c r="AL164" s="90">
        <v>0</v>
      </c>
      <c r="AM164" s="90">
        <v>0</v>
      </c>
      <c r="AN164" s="90">
        <v>5379.38</v>
      </c>
      <c r="AO164" s="90">
        <v>0</v>
      </c>
      <c r="AP164" s="90">
        <v>0</v>
      </c>
      <c r="AQ164" s="90">
        <v>0</v>
      </c>
      <c r="AR164" s="90">
        <v>0</v>
      </c>
      <c r="AS164" s="90">
        <v>0</v>
      </c>
      <c r="AT164" s="90">
        <v>0</v>
      </c>
      <c r="AU164" s="90">
        <v>0</v>
      </c>
      <c r="AV164" s="90">
        <v>0</v>
      </c>
      <c r="AW164" s="90">
        <v>0</v>
      </c>
      <c r="AX164" s="90"/>
      <c r="AY164" s="91">
        <f>ROUND(SUM(AH164:AX164),5)</f>
        <v>5379.38</v>
      </c>
      <c r="AZ164" s="91">
        <v>150000</v>
      </c>
      <c r="BA164" s="91">
        <v>150000</v>
      </c>
      <c r="BB164" s="92" t="s">
        <v>251</v>
      </c>
    </row>
    <row r="165" spans="1:56" x14ac:dyDescent="0.3">
      <c r="A165" s="50"/>
      <c r="B165" s="50"/>
      <c r="C165" s="50"/>
      <c r="D165" s="50"/>
      <c r="E165" s="50"/>
      <c r="F165" s="50" t="s">
        <v>189</v>
      </c>
      <c r="G165" s="50"/>
      <c r="H165" s="51">
        <f t="shared" ref="H165:P165" si="50">ROUND(SUM(H163:H164),5)</f>
        <v>6935</v>
      </c>
      <c r="I165" s="51">
        <f t="shared" si="50"/>
        <v>1357</v>
      </c>
      <c r="J165" s="51">
        <f t="shared" si="50"/>
        <v>0</v>
      </c>
      <c r="K165" s="51">
        <f t="shared" si="50"/>
        <v>0</v>
      </c>
      <c r="L165" s="51">
        <f t="shared" si="50"/>
        <v>0</v>
      </c>
      <c r="M165" s="51">
        <f t="shared" si="50"/>
        <v>0</v>
      </c>
      <c r="N165" s="51">
        <f t="shared" si="50"/>
        <v>0</v>
      </c>
      <c r="O165" s="51">
        <f t="shared" si="50"/>
        <v>0</v>
      </c>
      <c r="P165" s="51">
        <f t="shared" si="50"/>
        <v>355787.84</v>
      </c>
      <c r="Q165" s="51">
        <f>ROUND(SUM(Q163:Q164),5)</f>
        <v>9486.81</v>
      </c>
      <c r="R165" s="51">
        <f>ROUND(SUM(R163:R164),5)</f>
        <v>261853.25</v>
      </c>
      <c r="S165" s="51">
        <f>ROUND(SUM(S163:S164),5)</f>
        <v>350000</v>
      </c>
      <c r="T165" s="51"/>
      <c r="U165" s="51">
        <f>ROUND(SUM(H165:T165),5)</f>
        <v>985419.9</v>
      </c>
      <c r="V165" s="51">
        <f>ROUND(SUM(V163:V164),5)</f>
        <v>150000</v>
      </c>
      <c r="W165" s="51">
        <f>ROUND(SUM(W163:W164),5)</f>
        <v>1600000</v>
      </c>
      <c r="AB165" s="86"/>
      <c r="AC165" s="86"/>
      <c r="AD165" s="86"/>
      <c r="AE165" s="86"/>
      <c r="AF165" s="86" t="s">
        <v>189</v>
      </c>
      <c r="AG165" s="86"/>
      <c r="AH165" s="87"/>
      <c r="AI165" s="87"/>
      <c r="AJ165" s="87"/>
      <c r="AK165" s="87"/>
      <c r="AL165" s="87">
        <f t="shared" ref="AL165:AW165" si="51">ROUND(SUM(AL163:AL164),5)</f>
        <v>0</v>
      </c>
      <c r="AM165" s="87">
        <f t="shared" si="51"/>
        <v>0</v>
      </c>
      <c r="AN165" s="87">
        <f t="shared" si="51"/>
        <v>5379.38</v>
      </c>
      <c r="AO165" s="87">
        <f t="shared" si="51"/>
        <v>0</v>
      </c>
      <c r="AP165" s="87">
        <f t="shared" si="51"/>
        <v>0</v>
      </c>
      <c r="AQ165" s="87">
        <f t="shared" si="51"/>
        <v>0</v>
      </c>
      <c r="AR165" s="87">
        <f t="shared" si="51"/>
        <v>0</v>
      </c>
      <c r="AS165" s="87">
        <f t="shared" si="51"/>
        <v>0</v>
      </c>
      <c r="AT165" s="87">
        <f t="shared" si="51"/>
        <v>0</v>
      </c>
      <c r="AU165" s="87">
        <f t="shared" si="51"/>
        <v>0</v>
      </c>
      <c r="AV165" s="87">
        <f t="shared" si="51"/>
        <v>0</v>
      </c>
      <c r="AW165" s="87">
        <f t="shared" si="51"/>
        <v>0</v>
      </c>
      <c r="AX165" s="87"/>
      <c r="AY165" s="88">
        <f>ROUND(SUM(AH165:AX165),5)</f>
        <v>5379.38</v>
      </c>
      <c r="AZ165" s="88">
        <f>ROUND(SUM(AZ163:AZ164),5)</f>
        <v>150000</v>
      </c>
      <c r="BA165" s="88">
        <f>ROUND(SUM(BA163:BA164),5)</f>
        <v>150000</v>
      </c>
      <c r="BB165" s="89"/>
    </row>
    <row r="166" spans="1:56" x14ac:dyDescent="0.3">
      <c r="A166" s="50"/>
      <c r="B166" s="50"/>
      <c r="C166" s="50"/>
      <c r="D166" s="50"/>
      <c r="E166" s="50"/>
      <c r="F166" s="50" t="s">
        <v>190</v>
      </c>
      <c r="G166" s="50"/>
      <c r="H166" s="51"/>
      <c r="I166" s="51"/>
      <c r="J166" s="51"/>
      <c r="K166" s="51"/>
      <c r="L166" s="51"/>
      <c r="M166" s="51"/>
      <c r="N166" s="51"/>
      <c r="O166" s="51"/>
      <c r="P166" s="51"/>
      <c r="Q166" s="51"/>
      <c r="R166" s="51"/>
      <c r="S166" s="51"/>
      <c r="T166" s="51"/>
      <c r="U166" s="51"/>
      <c r="V166" s="51"/>
      <c r="W166" s="51"/>
      <c r="AB166" s="86"/>
      <c r="AC166" s="86"/>
      <c r="AD166" s="86"/>
      <c r="AE166" s="86"/>
      <c r="AF166" s="86" t="s">
        <v>190</v>
      </c>
      <c r="AG166" s="86"/>
      <c r="AH166" s="87"/>
      <c r="AI166" s="87"/>
      <c r="AJ166" s="87"/>
      <c r="AK166" s="87"/>
      <c r="AL166" s="87"/>
      <c r="AM166" s="87"/>
      <c r="AN166" s="87"/>
      <c r="AO166" s="87"/>
      <c r="AP166" s="87"/>
      <c r="AQ166" s="87"/>
      <c r="AR166" s="87"/>
      <c r="AS166" s="87"/>
      <c r="AT166" s="87"/>
      <c r="AU166" s="87"/>
      <c r="AV166" s="87"/>
      <c r="AW166" s="87"/>
      <c r="AX166" s="87"/>
      <c r="AY166" s="88"/>
      <c r="AZ166" s="88"/>
      <c r="BA166" s="88"/>
      <c r="BB166" s="89"/>
    </row>
    <row r="167" spans="1:56" x14ac:dyDescent="0.3">
      <c r="A167" s="50"/>
      <c r="B167" s="50"/>
      <c r="C167" s="50"/>
      <c r="D167" s="50"/>
      <c r="E167" s="50"/>
      <c r="F167" s="50"/>
      <c r="G167" s="50" t="s">
        <v>191</v>
      </c>
      <c r="H167" s="51">
        <v>0</v>
      </c>
      <c r="I167" s="51">
        <v>0</v>
      </c>
      <c r="J167" s="51">
        <v>0</v>
      </c>
      <c r="K167" s="51">
        <v>0</v>
      </c>
      <c r="L167" s="51">
        <v>0</v>
      </c>
      <c r="M167" s="51">
        <v>0</v>
      </c>
      <c r="N167" s="51">
        <v>0</v>
      </c>
      <c r="O167" s="51">
        <v>0</v>
      </c>
      <c r="P167" s="51">
        <v>0</v>
      </c>
      <c r="Q167" s="51">
        <v>0</v>
      </c>
      <c r="R167" s="51">
        <v>0</v>
      </c>
      <c r="S167" s="51">
        <v>0</v>
      </c>
      <c r="T167" s="51"/>
      <c r="U167" s="51">
        <v>0</v>
      </c>
      <c r="V167" s="67">
        <v>60000</v>
      </c>
      <c r="W167" s="67">
        <v>60000</v>
      </c>
      <c r="AB167" s="86"/>
      <c r="AC167" s="86"/>
      <c r="AD167" s="86"/>
      <c r="AE167" s="86"/>
      <c r="AF167" s="86"/>
      <c r="AG167" s="86" t="s">
        <v>191</v>
      </c>
      <c r="AH167" s="87"/>
      <c r="AI167" s="87"/>
      <c r="AJ167" s="87"/>
      <c r="AK167" s="87"/>
      <c r="AL167" s="87">
        <v>0</v>
      </c>
      <c r="AM167" s="87">
        <v>0</v>
      </c>
      <c r="AN167" s="87">
        <v>0</v>
      </c>
      <c r="AO167" s="87">
        <v>0</v>
      </c>
      <c r="AP167" s="87">
        <v>0</v>
      </c>
      <c r="AQ167" s="87">
        <v>0</v>
      </c>
      <c r="AR167" s="87">
        <v>0</v>
      </c>
      <c r="AS167" s="87">
        <v>0</v>
      </c>
      <c r="AT167" s="87">
        <v>9137.67</v>
      </c>
      <c r="AU167" s="87">
        <v>0</v>
      </c>
      <c r="AV167" s="87">
        <v>0</v>
      </c>
      <c r="AW167" s="87">
        <v>0</v>
      </c>
      <c r="AX167" s="87"/>
      <c r="AY167" s="88">
        <f>ROUND(SUM(AH167:AX167),5)</f>
        <v>9137.67</v>
      </c>
      <c r="AZ167" s="88">
        <v>75000</v>
      </c>
      <c r="BA167" s="88">
        <v>60000</v>
      </c>
      <c r="BB167" s="89"/>
    </row>
    <row r="168" spans="1:56" x14ac:dyDescent="0.3">
      <c r="A168" s="50"/>
      <c r="B168" s="50"/>
      <c r="C168" s="50"/>
      <c r="D168" s="50"/>
      <c r="E168" s="50"/>
      <c r="F168" s="50"/>
      <c r="G168" s="50" t="s">
        <v>192</v>
      </c>
      <c r="H168" s="51">
        <v>0</v>
      </c>
      <c r="I168" s="51">
        <v>0</v>
      </c>
      <c r="J168" s="51">
        <v>0</v>
      </c>
      <c r="K168" s="51">
        <v>0</v>
      </c>
      <c r="L168" s="51">
        <v>0</v>
      </c>
      <c r="M168" s="51">
        <v>0</v>
      </c>
      <c r="N168" s="51">
        <v>0</v>
      </c>
      <c r="O168" s="51">
        <v>0</v>
      </c>
      <c r="P168" s="51">
        <v>0</v>
      </c>
      <c r="Q168" s="51">
        <v>0</v>
      </c>
      <c r="R168" s="51">
        <v>0</v>
      </c>
      <c r="S168" s="51">
        <v>0</v>
      </c>
      <c r="T168" s="51"/>
      <c r="U168" s="51">
        <v>0</v>
      </c>
      <c r="V168" s="67">
        <v>17000</v>
      </c>
      <c r="W168" s="67">
        <v>17000</v>
      </c>
      <c r="AB168" s="86"/>
      <c r="AC168" s="86"/>
      <c r="AD168" s="86"/>
      <c r="AE168" s="86"/>
      <c r="AF168" s="86"/>
      <c r="AG168" s="86" t="s">
        <v>192</v>
      </c>
      <c r="AH168" s="87"/>
      <c r="AI168" s="87"/>
      <c r="AJ168" s="87"/>
      <c r="AK168" s="87"/>
      <c r="AL168" s="87">
        <v>0</v>
      </c>
      <c r="AM168" s="87">
        <v>0</v>
      </c>
      <c r="AN168" s="87">
        <v>0</v>
      </c>
      <c r="AO168" s="87">
        <v>0</v>
      </c>
      <c r="AP168" s="87">
        <v>0</v>
      </c>
      <c r="AQ168" s="87">
        <v>0</v>
      </c>
      <c r="AR168" s="87">
        <v>0</v>
      </c>
      <c r="AS168" s="87">
        <v>2082.06</v>
      </c>
      <c r="AT168" s="87">
        <v>0</v>
      </c>
      <c r="AU168" s="87">
        <v>0</v>
      </c>
      <c r="AV168" s="87">
        <v>0</v>
      </c>
      <c r="AW168" s="87">
        <v>0</v>
      </c>
      <c r="AX168" s="87"/>
      <c r="AY168" s="88">
        <f>ROUND(SUM(AH168:AX168),5)</f>
        <v>2082.06</v>
      </c>
      <c r="AZ168" s="88">
        <v>17000</v>
      </c>
      <c r="BA168" s="88">
        <v>17000</v>
      </c>
      <c r="BB168" s="89"/>
    </row>
    <row r="169" spans="1:56" ht="22.2" thickBot="1" x14ac:dyDescent="0.35">
      <c r="A169" s="50"/>
      <c r="B169" s="50"/>
      <c r="C169" s="50"/>
      <c r="D169" s="50"/>
      <c r="E169" s="50"/>
      <c r="F169" s="50"/>
      <c r="G169" s="50" t="s">
        <v>193</v>
      </c>
      <c r="H169" s="52">
        <v>0</v>
      </c>
      <c r="I169" s="52">
        <v>1945</v>
      </c>
      <c r="J169" s="52">
        <v>0</v>
      </c>
      <c r="K169" s="52">
        <v>0</v>
      </c>
      <c r="L169" s="52">
        <v>0</v>
      </c>
      <c r="M169" s="52">
        <v>0</v>
      </c>
      <c r="N169" s="52">
        <v>0</v>
      </c>
      <c r="O169" s="52">
        <v>0</v>
      </c>
      <c r="P169" s="52">
        <v>0</v>
      </c>
      <c r="Q169" s="52">
        <v>0</v>
      </c>
      <c r="R169" s="52">
        <v>0</v>
      </c>
      <c r="S169" s="52">
        <v>0</v>
      </c>
      <c r="T169" s="52"/>
      <c r="U169" s="52">
        <f>ROUND(SUM(H169:T169),5)</f>
        <v>1945</v>
      </c>
      <c r="V169" s="52">
        <v>5000</v>
      </c>
      <c r="W169" s="52">
        <v>6000</v>
      </c>
      <c r="X169" s="68" t="s">
        <v>253</v>
      </c>
      <c r="AA169" s="56"/>
      <c r="AB169" s="86"/>
      <c r="AC169" s="86"/>
      <c r="AD169" s="86"/>
      <c r="AE169" s="86"/>
      <c r="AF169" s="86"/>
      <c r="AG169" s="86" t="s">
        <v>193</v>
      </c>
      <c r="AH169" s="90"/>
      <c r="AI169" s="90"/>
      <c r="AJ169" s="90"/>
      <c r="AK169" s="90"/>
      <c r="AL169" s="90">
        <v>0</v>
      </c>
      <c r="AM169" s="90">
        <v>1945</v>
      </c>
      <c r="AN169" s="90">
        <v>0</v>
      </c>
      <c r="AO169" s="90">
        <v>0</v>
      </c>
      <c r="AP169" s="90">
        <v>0</v>
      </c>
      <c r="AQ169" s="90">
        <v>0</v>
      </c>
      <c r="AR169" s="90">
        <v>0</v>
      </c>
      <c r="AS169" s="90">
        <v>0</v>
      </c>
      <c r="AT169" s="90">
        <v>0</v>
      </c>
      <c r="AU169" s="90">
        <v>0</v>
      </c>
      <c r="AV169" s="90">
        <v>0</v>
      </c>
      <c r="AW169" s="90">
        <v>0</v>
      </c>
      <c r="AX169" s="90"/>
      <c r="AY169" s="91">
        <f>ROUND(SUM(AH169:AX169),5)</f>
        <v>1945</v>
      </c>
      <c r="AZ169" s="91">
        <v>5000</v>
      </c>
      <c r="BA169" s="91">
        <v>5000</v>
      </c>
      <c r="BB169" s="92" t="s">
        <v>253</v>
      </c>
    </row>
    <row r="170" spans="1:56" ht="15" thickBot="1" x14ac:dyDescent="0.35">
      <c r="A170" s="50"/>
      <c r="B170" s="50"/>
      <c r="C170" s="50"/>
      <c r="D170" s="50"/>
      <c r="E170" s="50"/>
      <c r="F170" s="50" t="s">
        <v>194</v>
      </c>
      <c r="G170" s="50"/>
      <c r="H170" s="52">
        <f t="shared" ref="H170:S170" si="52">ROUND(SUM(H166:H169),5)</f>
        <v>0</v>
      </c>
      <c r="I170" s="52">
        <f t="shared" si="52"/>
        <v>1945</v>
      </c>
      <c r="J170" s="52">
        <f t="shared" si="52"/>
        <v>0</v>
      </c>
      <c r="K170" s="52">
        <f t="shared" si="52"/>
        <v>0</v>
      </c>
      <c r="L170" s="52">
        <f t="shared" si="52"/>
        <v>0</v>
      </c>
      <c r="M170" s="52">
        <f t="shared" si="52"/>
        <v>0</v>
      </c>
      <c r="N170" s="52">
        <f t="shared" si="52"/>
        <v>0</v>
      </c>
      <c r="O170" s="52">
        <f t="shared" si="52"/>
        <v>0</v>
      </c>
      <c r="P170" s="52">
        <f t="shared" si="52"/>
        <v>0</v>
      </c>
      <c r="Q170" s="52">
        <f t="shared" si="52"/>
        <v>0</v>
      </c>
      <c r="R170" s="52">
        <f t="shared" si="52"/>
        <v>0</v>
      </c>
      <c r="S170" s="52">
        <f t="shared" si="52"/>
        <v>0</v>
      </c>
      <c r="T170" s="52"/>
      <c r="U170" s="52">
        <f>ROUND(SUM(H170:T170),5)</f>
        <v>1945</v>
      </c>
      <c r="V170" s="52">
        <f>ROUND(SUM(V166:V169),5)</f>
        <v>82000</v>
      </c>
      <c r="W170" s="114">
        <f>ROUND(SUM(W166:W169),5)</f>
        <v>83000</v>
      </c>
      <c r="AB170" s="86"/>
      <c r="AC170" s="86"/>
      <c r="AD170" s="86"/>
      <c r="AE170" s="86" t="s">
        <v>195</v>
      </c>
      <c r="AF170" s="86" t="s">
        <v>194</v>
      </c>
      <c r="AG170" s="86"/>
      <c r="AH170" s="90"/>
      <c r="AI170" s="90"/>
      <c r="AJ170" s="90"/>
      <c r="AK170" s="90"/>
      <c r="AL170" s="90">
        <f t="shared" ref="AL170:AW170" si="53">ROUND(SUM(AL166:AL169),5)</f>
        <v>0</v>
      </c>
      <c r="AM170" s="90">
        <f t="shared" si="53"/>
        <v>1945</v>
      </c>
      <c r="AN170" s="90">
        <f t="shared" si="53"/>
        <v>0</v>
      </c>
      <c r="AO170" s="90">
        <f t="shared" si="53"/>
        <v>0</v>
      </c>
      <c r="AP170" s="90">
        <f t="shared" si="53"/>
        <v>0</v>
      </c>
      <c r="AQ170" s="90">
        <f t="shared" si="53"/>
        <v>0</v>
      </c>
      <c r="AR170" s="90">
        <f t="shared" si="53"/>
        <v>0</v>
      </c>
      <c r="AS170" s="90">
        <f t="shared" si="53"/>
        <v>2082.06</v>
      </c>
      <c r="AT170" s="90">
        <f t="shared" si="53"/>
        <v>9137.67</v>
      </c>
      <c r="AU170" s="90">
        <f t="shared" si="53"/>
        <v>0</v>
      </c>
      <c r="AV170" s="90">
        <f t="shared" si="53"/>
        <v>0</v>
      </c>
      <c r="AW170" s="90">
        <f t="shared" si="53"/>
        <v>0</v>
      </c>
      <c r="AX170" s="90"/>
      <c r="AY170" s="91">
        <f>ROUND(SUM(AH170:AX170),5)</f>
        <v>13164.73</v>
      </c>
      <c r="AZ170" s="91">
        <f>ROUND(SUM(AZ166:AZ169),5)</f>
        <v>97000</v>
      </c>
      <c r="BA170" s="91">
        <f>ROUND(SUM(BA166:BA169),5)</f>
        <v>82000</v>
      </c>
      <c r="BB170" s="92"/>
    </row>
    <row r="171" spans="1:56" ht="15" thickBot="1" x14ac:dyDescent="0.35">
      <c r="A171" s="50"/>
      <c r="B171" s="50"/>
      <c r="C171" s="50"/>
      <c r="D171" s="50"/>
      <c r="E171" s="50" t="s">
        <v>195</v>
      </c>
      <c r="F171" s="50"/>
      <c r="G171" s="50"/>
      <c r="H171" s="54">
        <f t="shared" ref="H171:S171" si="54">ROUND(H156+H162+H165+H170,5)</f>
        <v>6935</v>
      </c>
      <c r="I171" s="54">
        <f t="shared" si="54"/>
        <v>3302</v>
      </c>
      <c r="J171" s="54">
        <f t="shared" si="54"/>
        <v>0</v>
      </c>
      <c r="K171" s="54">
        <f t="shared" si="54"/>
        <v>0</v>
      </c>
      <c r="L171" s="54">
        <f t="shared" si="54"/>
        <v>0</v>
      </c>
      <c r="M171" s="54">
        <f t="shared" si="54"/>
        <v>0</v>
      </c>
      <c r="N171" s="54">
        <f t="shared" si="54"/>
        <v>0</v>
      </c>
      <c r="O171" s="54">
        <f t="shared" si="54"/>
        <v>1900</v>
      </c>
      <c r="P171" s="54">
        <f t="shared" si="54"/>
        <v>355787.84</v>
      </c>
      <c r="Q171" s="54">
        <f t="shared" si="54"/>
        <v>9486.81</v>
      </c>
      <c r="R171" s="54">
        <f t="shared" si="54"/>
        <v>261853.25</v>
      </c>
      <c r="S171" s="54">
        <f t="shared" si="54"/>
        <v>350000</v>
      </c>
      <c r="T171" s="54"/>
      <c r="U171" s="54">
        <f>ROUND(SUM(H171:T171),5)</f>
        <v>989264.9</v>
      </c>
      <c r="V171" s="54">
        <f>ROUND(V156+V162+V165+V170,5)</f>
        <v>351500</v>
      </c>
      <c r="W171" s="54">
        <f>ROUND(W156+W162+W165+W170,5)</f>
        <v>1802500</v>
      </c>
      <c r="AB171" s="86"/>
      <c r="AC171" s="86"/>
      <c r="AD171" s="86"/>
      <c r="AE171" s="86"/>
      <c r="AF171" s="86"/>
      <c r="AG171" s="86"/>
      <c r="AH171" s="87"/>
      <c r="AI171" s="87"/>
      <c r="AJ171" s="87"/>
      <c r="AK171" s="87"/>
      <c r="AL171" s="99">
        <f t="shared" ref="AL171:AW171" si="55">ROUND(AL156+AL162+AL165+AL170,5)</f>
        <v>0</v>
      </c>
      <c r="AM171" s="99">
        <f t="shared" si="55"/>
        <v>1945</v>
      </c>
      <c r="AN171" s="99">
        <f t="shared" si="55"/>
        <v>5379.38</v>
      </c>
      <c r="AO171" s="99">
        <f t="shared" si="55"/>
        <v>0</v>
      </c>
      <c r="AP171" s="99">
        <f t="shared" si="55"/>
        <v>0</v>
      </c>
      <c r="AQ171" s="99">
        <f t="shared" si="55"/>
        <v>0</v>
      </c>
      <c r="AR171" s="99">
        <f t="shared" si="55"/>
        <v>0</v>
      </c>
      <c r="AS171" s="99">
        <f t="shared" si="55"/>
        <v>2082.06</v>
      </c>
      <c r="AT171" s="99">
        <f t="shared" si="55"/>
        <v>9137.67</v>
      </c>
      <c r="AU171" s="99">
        <f t="shared" si="55"/>
        <v>0</v>
      </c>
      <c r="AV171" s="99">
        <f t="shared" si="55"/>
        <v>0</v>
      </c>
      <c r="AW171" s="99">
        <f t="shared" si="55"/>
        <v>0</v>
      </c>
      <c r="AX171" s="99"/>
      <c r="AY171" s="100">
        <f>ROUND(SUM(AH171:AX171),5)</f>
        <v>18544.11</v>
      </c>
      <c r="AZ171" s="100">
        <f>ROUND(AZ156+AZ162+AZ165+AZ170,5)</f>
        <v>366500</v>
      </c>
      <c r="BA171" s="100">
        <f>ROUND(BA156+BA162+BA165+BA170,5)</f>
        <v>351500</v>
      </c>
      <c r="BB171" s="101"/>
    </row>
    <row r="172" spans="1:56" s="56" customFormat="1" ht="22.2" thickBot="1" x14ac:dyDescent="0.35">
      <c r="A172" s="50"/>
      <c r="B172" s="50"/>
      <c r="C172" s="50"/>
      <c r="D172" s="50"/>
      <c r="E172" s="50" t="s">
        <v>203</v>
      </c>
      <c r="F172" s="50"/>
      <c r="G172" s="50"/>
      <c r="H172" s="54"/>
      <c r="I172" s="54"/>
      <c r="J172" s="54"/>
      <c r="K172" s="54"/>
      <c r="L172" s="54"/>
      <c r="M172" s="54"/>
      <c r="N172" s="54"/>
      <c r="O172" s="54"/>
      <c r="P172" s="54"/>
      <c r="Q172" s="54"/>
      <c r="R172" s="54"/>
      <c r="S172" s="54"/>
      <c r="T172" s="54"/>
      <c r="U172" s="54">
        <v>0</v>
      </c>
      <c r="V172" s="54">
        <v>226000</v>
      </c>
      <c r="W172" s="54">
        <f>W24+W20</f>
        <v>145100</v>
      </c>
      <c r="X172" s="68" t="s">
        <v>209</v>
      </c>
      <c r="Y172"/>
      <c r="Z172"/>
      <c r="AA172"/>
      <c r="AB172" s="86"/>
      <c r="AC172" s="86"/>
      <c r="AD172" s="86"/>
      <c r="AE172" s="86"/>
      <c r="AF172" s="86"/>
      <c r="AG172" s="86"/>
      <c r="AH172" s="87"/>
      <c r="AI172" s="87"/>
      <c r="AJ172" s="87"/>
      <c r="AK172" s="87"/>
      <c r="AL172" s="99"/>
      <c r="AM172" s="99"/>
      <c r="AN172" s="99"/>
      <c r="AO172" s="99"/>
      <c r="AP172" s="99"/>
      <c r="AQ172" s="99"/>
      <c r="AR172" s="99"/>
      <c r="AS172" s="99"/>
      <c r="AT172" s="99"/>
      <c r="AU172" s="99"/>
      <c r="AV172" s="99"/>
      <c r="AW172" s="99"/>
      <c r="AX172" s="99"/>
      <c r="AY172" s="86"/>
      <c r="AZ172" s="86"/>
      <c r="BA172" s="86"/>
      <c r="BB172" s="86"/>
      <c r="BC172"/>
      <c r="BD172"/>
    </row>
    <row r="173" spans="1:56" s="56" customFormat="1" ht="15" thickBot="1" x14ac:dyDescent="0.35">
      <c r="A173" s="50"/>
      <c r="B173" s="50"/>
      <c r="C173" s="50"/>
      <c r="D173" s="50"/>
      <c r="E173" s="50" t="s">
        <v>299</v>
      </c>
      <c r="F173" s="50"/>
      <c r="G173" s="50"/>
      <c r="H173" s="54"/>
      <c r="I173" s="54"/>
      <c r="J173" s="54"/>
      <c r="K173" s="54"/>
      <c r="L173" s="54"/>
      <c r="M173" s="54"/>
      <c r="N173" s="54"/>
      <c r="O173" s="54"/>
      <c r="P173" s="54"/>
      <c r="Q173" s="54"/>
      <c r="R173" s="54"/>
      <c r="S173" s="54"/>
      <c r="T173" s="54"/>
      <c r="U173" s="54">
        <v>0</v>
      </c>
      <c r="V173" s="54">
        <v>0</v>
      </c>
      <c r="W173" s="54">
        <v>-1802500</v>
      </c>
      <c r="X173" s="68" t="s">
        <v>300</v>
      </c>
      <c r="Y173"/>
      <c r="Z173"/>
      <c r="AA173"/>
      <c r="AB173" s="86"/>
      <c r="AC173" s="86"/>
      <c r="AD173" s="86"/>
      <c r="AE173" s="86"/>
      <c r="AF173" s="86"/>
      <c r="AG173" s="86"/>
      <c r="AH173" s="87"/>
      <c r="AI173" s="87"/>
      <c r="AJ173" s="87"/>
      <c r="AK173" s="87"/>
      <c r="AL173" s="99"/>
      <c r="AM173" s="99"/>
      <c r="AN173" s="99"/>
      <c r="AO173" s="99"/>
      <c r="AP173" s="99"/>
      <c r="AQ173" s="99"/>
      <c r="AR173" s="99"/>
      <c r="AS173" s="99"/>
      <c r="AT173" s="99"/>
      <c r="AU173" s="99"/>
      <c r="AV173" s="99"/>
      <c r="AW173" s="99"/>
      <c r="AX173" s="99"/>
      <c r="AY173" s="86"/>
      <c r="AZ173" s="86"/>
      <c r="BA173" s="86"/>
      <c r="BB173" s="86"/>
      <c r="BC173"/>
      <c r="BD173"/>
    </row>
    <row r="174" spans="1:56" ht="22.2" thickBot="1" x14ac:dyDescent="0.35">
      <c r="A174" s="50"/>
      <c r="B174" s="50"/>
      <c r="C174" s="50"/>
      <c r="D174" s="50"/>
      <c r="E174" s="50" t="s">
        <v>204</v>
      </c>
      <c r="F174" s="50"/>
      <c r="G174" s="50"/>
      <c r="H174" s="54"/>
      <c r="I174" s="54"/>
      <c r="J174" s="54"/>
      <c r="K174" s="54"/>
      <c r="L174" s="54"/>
      <c r="M174" s="54"/>
      <c r="N174" s="54"/>
      <c r="O174" s="54"/>
      <c r="P174" s="54"/>
      <c r="Q174" s="54"/>
      <c r="R174" s="54"/>
      <c r="S174" s="54"/>
      <c r="T174" s="54"/>
      <c r="U174" s="54">
        <v>0</v>
      </c>
      <c r="V174" s="54">
        <v>245659</v>
      </c>
      <c r="W174" s="116">
        <v>313950</v>
      </c>
      <c r="X174" s="68" t="s">
        <v>301</v>
      </c>
      <c r="Y174" s="56"/>
      <c r="Z174" s="56"/>
      <c r="AB174" s="86"/>
      <c r="AC174" s="86"/>
      <c r="AD174" s="86"/>
      <c r="AE174" s="86"/>
      <c r="AF174" s="86"/>
      <c r="AG174" s="86"/>
      <c r="AH174" s="87"/>
      <c r="AI174" s="87"/>
      <c r="AJ174" s="87"/>
      <c r="AK174" s="87"/>
      <c r="AL174" s="99"/>
      <c r="AM174" s="99"/>
      <c r="AN174" s="99"/>
      <c r="AO174" s="99"/>
      <c r="AP174" s="99"/>
      <c r="AQ174" s="99"/>
      <c r="AR174" s="99"/>
      <c r="AS174" s="99"/>
      <c r="AT174" s="99"/>
      <c r="AU174" s="99"/>
      <c r="AV174" s="99"/>
      <c r="AW174" s="99"/>
      <c r="AX174" s="99"/>
      <c r="AY174" s="86"/>
      <c r="AZ174" s="86"/>
      <c r="BA174" s="86"/>
      <c r="BB174" s="86"/>
    </row>
    <row r="175" spans="1:56" ht="15" thickBot="1" x14ac:dyDescent="0.35">
      <c r="A175" s="50"/>
      <c r="B175" s="50"/>
      <c r="C175" s="50"/>
      <c r="D175" s="50" t="s">
        <v>5</v>
      </c>
      <c r="E175" s="50"/>
      <c r="F175" s="50"/>
      <c r="G175" s="50"/>
      <c r="H175" s="53">
        <f t="shared" ref="H175:S175" si="56">ROUND(H40+H71+H149+H155+H171,5)</f>
        <v>40629.21</v>
      </c>
      <c r="I175" s="53">
        <f t="shared" si="56"/>
        <v>42211.89</v>
      </c>
      <c r="J175" s="53">
        <f t="shared" si="56"/>
        <v>35255.99</v>
      </c>
      <c r="K175" s="53">
        <f t="shared" si="56"/>
        <v>58915.23</v>
      </c>
      <c r="L175" s="53">
        <f t="shared" si="56"/>
        <v>38223.08</v>
      </c>
      <c r="M175" s="53">
        <f t="shared" si="56"/>
        <v>55599.54</v>
      </c>
      <c r="N175" s="53">
        <f t="shared" si="56"/>
        <v>57824.7</v>
      </c>
      <c r="O175" s="53">
        <f t="shared" si="56"/>
        <v>44586.239999999998</v>
      </c>
      <c r="P175" s="53">
        <f t="shared" si="56"/>
        <v>393348.6</v>
      </c>
      <c r="Q175" s="53">
        <f t="shared" si="56"/>
        <v>58195.67</v>
      </c>
      <c r="R175" s="53">
        <f t="shared" si="56"/>
        <v>299439.25</v>
      </c>
      <c r="S175" s="53">
        <f t="shared" si="56"/>
        <v>455414.61</v>
      </c>
      <c r="T175" s="53"/>
      <c r="U175" s="53">
        <f>ROUND(SUM(H175:T175),5)</f>
        <v>1579644.01</v>
      </c>
      <c r="V175" s="53">
        <f>ROUND(V40+V71+V149+V155+V171,5)+V172+V174</f>
        <v>1552500</v>
      </c>
      <c r="W175" s="53">
        <f>ROUND(W40+W71+W149+W155+W171,5)+W172+W174+W173</f>
        <v>1189000</v>
      </c>
      <c r="AB175" s="86"/>
      <c r="AC175" s="86"/>
      <c r="AD175" s="86"/>
      <c r="AE175" s="86"/>
      <c r="AF175" s="86"/>
      <c r="AG175" s="86"/>
      <c r="AH175" s="87"/>
      <c r="AI175" s="87"/>
      <c r="AJ175" s="87"/>
      <c r="AK175" s="87"/>
      <c r="AL175" s="99"/>
      <c r="AM175" s="99"/>
      <c r="AN175" s="99"/>
      <c r="AO175" s="99"/>
      <c r="AP175" s="99"/>
      <c r="AQ175" s="99"/>
      <c r="AR175" s="99"/>
      <c r="AS175" s="99"/>
      <c r="AT175" s="99"/>
      <c r="AU175" s="99"/>
      <c r="AV175" s="99"/>
      <c r="AW175" s="99"/>
      <c r="AX175" s="99"/>
      <c r="AY175" s="86"/>
      <c r="AZ175" s="86"/>
      <c r="BA175" s="86"/>
      <c r="BB175" s="86"/>
    </row>
    <row r="176" spans="1:56" x14ac:dyDescent="0.3">
      <c r="A176" s="50"/>
      <c r="B176" s="50" t="s">
        <v>6</v>
      </c>
      <c r="C176" s="50"/>
      <c r="D176" s="50"/>
      <c r="E176" s="50"/>
      <c r="F176" s="50"/>
      <c r="G176" s="50"/>
      <c r="H176" s="51">
        <f t="shared" ref="H176:S176" si="57">ROUND(H2+H39-H175,5)</f>
        <v>20645.93</v>
      </c>
      <c r="I176" s="51">
        <f t="shared" si="57"/>
        <v>-21134.85</v>
      </c>
      <c r="J176" s="51">
        <f t="shared" si="57"/>
        <v>51003.360000000001</v>
      </c>
      <c r="K176" s="51">
        <f t="shared" si="57"/>
        <v>26647.89</v>
      </c>
      <c r="L176" s="51">
        <f t="shared" si="57"/>
        <v>-11791.18</v>
      </c>
      <c r="M176" s="51">
        <f t="shared" si="57"/>
        <v>242069.91</v>
      </c>
      <c r="N176" s="51">
        <f t="shared" si="57"/>
        <v>160957.59</v>
      </c>
      <c r="O176" s="51">
        <f t="shared" si="57"/>
        <v>15114.64</v>
      </c>
      <c r="P176" s="51">
        <f t="shared" si="57"/>
        <v>-318923.76</v>
      </c>
      <c r="Q176" s="51">
        <f t="shared" si="57"/>
        <v>46415.09</v>
      </c>
      <c r="R176" s="51">
        <f t="shared" si="57"/>
        <v>-23874.639999999999</v>
      </c>
      <c r="S176" s="51">
        <f t="shared" si="57"/>
        <v>-411762.25</v>
      </c>
      <c r="T176" s="51"/>
      <c r="U176" s="51">
        <f>ROUND(SUM(H176:T176),5)</f>
        <v>-224632.27</v>
      </c>
      <c r="V176" s="51">
        <f>ROUND(V2+V39-V175,5)</f>
        <v>-351500</v>
      </c>
      <c r="W176" s="51">
        <f>ROUND(W2+W39-W175,5)</f>
        <v>0</v>
      </c>
      <c r="AB176" s="86"/>
      <c r="AC176" s="86"/>
      <c r="AD176" s="86"/>
      <c r="AE176" s="86" t="s">
        <v>203</v>
      </c>
      <c r="AF176" s="86"/>
      <c r="AG176" s="86"/>
      <c r="AH176" s="87"/>
      <c r="AI176" s="87"/>
      <c r="AJ176" s="87"/>
      <c r="AK176" s="87"/>
      <c r="AL176" s="99"/>
      <c r="AM176" s="99"/>
      <c r="AN176" s="99"/>
      <c r="AO176" s="99"/>
      <c r="AP176" s="99"/>
      <c r="AQ176" s="99"/>
      <c r="AR176" s="99"/>
      <c r="AS176" s="99"/>
      <c r="AT176" s="99"/>
      <c r="AU176" s="99"/>
      <c r="AV176" s="99"/>
      <c r="AW176" s="99"/>
      <c r="AX176" s="99"/>
      <c r="AY176" s="86"/>
      <c r="AZ176" s="86"/>
      <c r="BA176" s="86"/>
      <c r="BB176" s="86"/>
    </row>
    <row r="177" spans="1:54" ht="17.399999999999999" customHeight="1" thickBot="1" x14ac:dyDescent="0.35">
      <c r="A177" s="50"/>
      <c r="B177" s="50" t="s">
        <v>7</v>
      </c>
      <c r="C177" s="50"/>
      <c r="D177" s="50"/>
      <c r="E177" s="50"/>
      <c r="F177" s="50"/>
      <c r="G177" s="50"/>
      <c r="H177" s="51"/>
      <c r="I177" s="51"/>
      <c r="J177" s="51"/>
      <c r="K177" s="51"/>
      <c r="L177" s="51"/>
      <c r="M177" s="51"/>
      <c r="N177" s="51"/>
      <c r="O177" s="51"/>
      <c r="P177" s="51"/>
      <c r="Q177" s="51"/>
      <c r="R177" s="51"/>
      <c r="S177" s="51"/>
      <c r="T177" s="51"/>
      <c r="U177" s="51"/>
      <c r="V177" s="51"/>
      <c r="W177" s="51"/>
      <c r="AB177" s="86"/>
      <c r="AC177" s="86"/>
      <c r="AD177" s="86"/>
      <c r="AE177" s="86" t="s">
        <v>204</v>
      </c>
      <c r="AF177" s="86"/>
      <c r="AG177" s="86"/>
      <c r="AH177" s="87"/>
      <c r="AI177" s="87"/>
      <c r="AJ177" s="87"/>
      <c r="AK177" s="87"/>
      <c r="AL177" s="102">
        <v>0</v>
      </c>
      <c r="AM177" s="102">
        <v>0</v>
      </c>
      <c r="AN177" s="102">
        <v>0</v>
      </c>
      <c r="AO177" s="102">
        <v>0</v>
      </c>
      <c r="AP177" s="102">
        <v>0</v>
      </c>
      <c r="AQ177" s="102">
        <v>0</v>
      </c>
      <c r="AR177" s="102">
        <v>0</v>
      </c>
      <c r="AS177" s="102">
        <v>0</v>
      </c>
      <c r="AT177" s="102">
        <v>0</v>
      </c>
      <c r="AU177" s="102">
        <v>0</v>
      </c>
      <c r="AV177" s="102">
        <v>0</v>
      </c>
      <c r="AW177" s="102">
        <v>0</v>
      </c>
      <c r="AX177" s="102"/>
      <c r="AY177" s="103">
        <v>0</v>
      </c>
      <c r="AZ177" s="103">
        <v>177000</v>
      </c>
      <c r="BA177" s="103">
        <f>BA17+BA18+BA24+BA20</f>
        <v>226000</v>
      </c>
      <c r="BB177" s="104" t="s">
        <v>209</v>
      </c>
    </row>
    <row r="178" spans="1:54" ht="25.8" customHeight="1" thickBot="1" x14ac:dyDescent="0.35">
      <c r="A178" s="50"/>
      <c r="B178" s="50"/>
      <c r="C178" s="50" t="s">
        <v>8</v>
      </c>
      <c r="D178" s="50"/>
      <c r="E178" s="50"/>
      <c r="F178" s="50"/>
      <c r="G178" s="50"/>
      <c r="H178" s="51"/>
      <c r="I178" s="51"/>
      <c r="J178" s="51"/>
      <c r="K178" s="51"/>
      <c r="L178" s="51"/>
      <c r="M178" s="51"/>
      <c r="N178" s="51"/>
      <c r="O178" s="51"/>
      <c r="P178" s="51"/>
      <c r="Q178" s="51"/>
      <c r="R178" s="51"/>
      <c r="S178" s="51"/>
      <c r="T178" s="51"/>
      <c r="U178" s="51"/>
      <c r="V178" s="51"/>
      <c r="W178" s="51"/>
      <c r="AB178" s="86"/>
      <c r="AC178" s="86"/>
      <c r="AD178" s="86" t="s">
        <v>5</v>
      </c>
      <c r="AE178" s="86"/>
      <c r="AF178" s="86"/>
      <c r="AG178" s="86"/>
      <c r="AH178" s="87"/>
      <c r="AI178" s="87"/>
      <c r="AJ178" s="87"/>
      <c r="AK178" s="87"/>
      <c r="AL178" s="87">
        <v>0</v>
      </c>
      <c r="AM178" s="87">
        <v>0</v>
      </c>
      <c r="AN178" s="87">
        <v>0</v>
      </c>
      <c r="AO178" s="87">
        <v>0</v>
      </c>
      <c r="AP178" s="87">
        <v>0</v>
      </c>
      <c r="AQ178" s="87">
        <v>0</v>
      </c>
      <c r="AR178" s="87">
        <v>0</v>
      </c>
      <c r="AS178" s="87">
        <v>0</v>
      </c>
      <c r="AT178" s="87">
        <v>0</v>
      </c>
      <c r="AU178" s="87">
        <v>0</v>
      </c>
      <c r="AV178" s="87">
        <v>0</v>
      </c>
      <c r="AW178" s="87">
        <v>0</v>
      </c>
      <c r="AX178" s="87"/>
      <c r="AY178" s="88">
        <v>0</v>
      </c>
      <c r="AZ178" s="88">
        <v>236020</v>
      </c>
      <c r="BA178" s="88">
        <v>245659</v>
      </c>
      <c r="BB178" s="89" t="s">
        <v>259</v>
      </c>
    </row>
    <row r="179" spans="1:54" ht="14.4" customHeight="1" thickBot="1" x14ac:dyDescent="0.35">
      <c r="A179" s="50"/>
      <c r="B179" s="50"/>
      <c r="C179" s="50"/>
      <c r="D179" s="50" t="s">
        <v>196</v>
      </c>
      <c r="E179" s="50"/>
      <c r="F179" s="50"/>
      <c r="G179" s="50"/>
      <c r="H179" s="51">
        <v>488.69</v>
      </c>
      <c r="I179" s="51">
        <v>0</v>
      </c>
      <c r="J179" s="51">
        <v>0</v>
      </c>
      <c r="K179" s="51">
        <v>0</v>
      </c>
      <c r="L179" s="51">
        <v>0</v>
      </c>
      <c r="M179" s="51">
        <v>0</v>
      </c>
      <c r="N179" s="51">
        <v>1206.2</v>
      </c>
      <c r="O179" s="51">
        <v>0</v>
      </c>
      <c r="P179" s="51">
        <v>0</v>
      </c>
      <c r="Q179" s="51">
        <v>0</v>
      </c>
      <c r="R179" s="51">
        <v>0</v>
      </c>
      <c r="S179" s="51">
        <v>0</v>
      </c>
      <c r="T179" s="51"/>
      <c r="U179" s="51">
        <f t="shared" ref="U179:U184" si="58">ROUND(SUM(H179:T179),5)</f>
        <v>1694.89</v>
      </c>
      <c r="V179" s="51">
        <v>0</v>
      </c>
      <c r="W179" s="51">
        <v>0</v>
      </c>
      <c r="X179" s="68" t="s">
        <v>206</v>
      </c>
      <c r="AB179" s="86" t="s">
        <v>6</v>
      </c>
      <c r="AC179" s="86"/>
      <c r="AD179" s="86"/>
      <c r="AE179" s="86"/>
      <c r="AF179" s="86"/>
      <c r="AG179" s="86"/>
      <c r="AH179" s="93"/>
      <c r="AI179" s="93"/>
      <c r="AJ179" s="93"/>
      <c r="AK179" s="93"/>
      <c r="AL179" s="93">
        <f t="shared" ref="AL179:BA179" si="59">ROUND(AL40+AL71+AL149+AL155+AL171,5)+AL177+AL178</f>
        <v>27999</v>
      </c>
      <c r="AM179" s="93">
        <f t="shared" si="59"/>
        <v>43641.53</v>
      </c>
      <c r="AN179" s="93">
        <f t="shared" si="59"/>
        <v>40907.26</v>
      </c>
      <c r="AO179" s="93">
        <f t="shared" si="59"/>
        <v>48192.54</v>
      </c>
      <c r="AP179" s="93">
        <f t="shared" si="59"/>
        <v>32728.26</v>
      </c>
      <c r="AQ179" s="93">
        <f t="shared" si="59"/>
        <v>36866.379999999997</v>
      </c>
      <c r="AR179" s="93">
        <f t="shared" si="59"/>
        <v>44453.31</v>
      </c>
      <c r="AS179" s="93">
        <f t="shared" si="59"/>
        <v>32567.72</v>
      </c>
      <c r="AT179" s="93">
        <f t="shared" si="59"/>
        <v>48013.1</v>
      </c>
      <c r="AU179" s="93">
        <f t="shared" si="59"/>
        <v>52967.27</v>
      </c>
      <c r="AV179" s="93">
        <f t="shared" si="59"/>
        <v>50116.65</v>
      </c>
      <c r="AW179" s="93">
        <f t="shared" si="59"/>
        <v>98258.22</v>
      </c>
      <c r="AX179" s="93">
        <f t="shared" si="59"/>
        <v>0</v>
      </c>
      <c r="AY179" s="94">
        <f t="shared" si="59"/>
        <v>556711.24</v>
      </c>
      <c r="AZ179" s="94">
        <f t="shared" si="59"/>
        <v>1445300</v>
      </c>
      <c r="BA179" s="94">
        <f t="shared" si="59"/>
        <v>1552500</v>
      </c>
      <c r="BB179" s="95"/>
    </row>
    <row r="180" spans="1:54" ht="15.6" customHeight="1" x14ac:dyDescent="0.3">
      <c r="A180" s="50"/>
      <c r="B180" s="50"/>
      <c r="C180" s="50"/>
      <c r="D180" s="50" t="s">
        <v>197</v>
      </c>
      <c r="E180" s="50"/>
      <c r="F180" s="50"/>
      <c r="G180" s="50"/>
      <c r="H180" s="51">
        <v>3838.17</v>
      </c>
      <c r="I180" s="51">
        <v>-7360.71</v>
      </c>
      <c r="J180" s="51">
        <v>-12262.78</v>
      </c>
      <c r="K180" s="51">
        <v>-15312.76</v>
      </c>
      <c r="L180" s="51">
        <v>-7089.43</v>
      </c>
      <c r="M180" s="51">
        <v>-12210.57</v>
      </c>
      <c r="N180" s="51">
        <v>-30666.5</v>
      </c>
      <c r="O180" s="51">
        <v>-22606.21</v>
      </c>
      <c r="P180" s="51">
        <v>-54477.599999999999</v>
      </c>
      <c r="Q180" s="51">
        <v>-43909.78</v>
      </c>
      <c r="R180" s="51">
        <v>9284.9</v>
      </c>
      <c r="S180" s="51">
        <v>-10762.94</v>
      </c>
      <c r="T180" s="51"/>
      <c r="U180" s="51">
        <f t="shared" si="58"/>
        <v>-203536.21</v>
      </c>
      <c r="V180" s="51">
        <v>0</v>
      </c>
      <c r="W180" s="51">
        <v>0</v>
      </c>
      <c r="X180" s="68" t="s">
        <v>206</v>
      </c>
      <c r="AB180" s="86" t="s">
        <v>7</v>
      </c>
      <c r="AC180" s="86"/>
      <c r="AD180" s="86"/>
      <c r="AE180" s="86"/>
      <c r="AF180" s="86"/>
      <c r="AG180" s="86"/>
      <c r="AH180" s="87"/>
      <c r="AI180" s="87"/>
      <c r="AJ180" s="87"/>
      <c r="AK180" s="87"/>
      <c r="AL180" s="87">
        <f t="shared" ref="AL180:AW180" si="60">ROUND(AL2+AL39-AL179,5)</f>
        <v>-8841.0400000000009</v>
      </c>
      <c r="AM180" s="87">
        <f t="shared" si="60"/>
        <v>-10879.27</v>
      </c>
      <c r="AN180" s="87">
        <f t="shared" si="60"/>
        <v>-2325.44</v>
      </c>
      <c r="AO180" s="87">
        <f t="shared" si="60"/>
        <v>43497.59</v>
      </c>
      <c r="AP180" s="87">
        <f t="shared" si="60"/>
        <v>-13444.18</v>
      </c>
      <c r="AQ180" s="87">
        <f t="shared" si="60"/>
        <v>210923.04</v>
      </c>
      <c r="AR180" s="87">
        <f t="shared" si="60"/>
        <v>211891.47</v>
      </c>
      <c r="AS180" s="87">
        <f t="shared" si="60"/>
        <v>26678.65</v>
      </c>
      <c r="AT180" s="87">
        <f t="shared" si="60"/>
        <v>17447.71</v>
      </c>
      <c r="AU180" s="87">
        <f t="shared" si="60"/>
        <v>44297.38</v>
      </c>
      <c r="AV180" s="87">
        <f t="shared" si="60"/>
        <v>172821.62</v>
      </c>
      <c r="AW180" s="87">
        <f t="shared" si="60"/>
        <v>16430.13</v>
      </c>
      <c r="AX180" s="87"/>
      <c r="AY180" s="88">
        <f>ROUND(SUM(AH180:AX180),5)</f>
        <v>708497.66</v>
      </c>
      <c r="AZ180" s="88">
        <f>ROUND(AZ2+AZ39-AZ179,5)</f>
        <v>-366500</v>
      </c>
      <c r="BA180" s="88">
        <f>ROUND(BA2+BA39-BA179,5)</f>
        <v>-351500</v>
      </c>
      <c r="BB180" s="89"/>
    </row>
    <row r="181" spans="1:54" ht="13.2" customHeight="1" thickBot="1" x14ac:dyDescent="0.35">
      <c r="A181" s="50"/>
      <c r="B181" s="50"/>
      <c r="C181" s="50"/>
      <c r="D181" s="50" t="s">
        <v>280</v>
      </c>
      <c r="E181" s="50"/>
      <c r="F181" s="50"/>
      <c r="G181" s="50"/>
      <c r="H181" s="51">
        <v>0</v>
      </c>
      <c r="I181" s="51">
        <v>0</v>
      </c>
      <c r="J181" s="51">
        <v>0</v>
      </c>
      <c r="K181" s="51">
        <v>0</v>
      </c>
      <c r="L181" s="51">
        <v>0</v>
      </c>
      <c r="M181" s="51">
        <v>0</v>
      </c>
      <c r="N181" s="51">
        <v>0</v>
      </c>
      <c r="O181" s="51">
        <v>0</v>
      </c>
      <c r="P181" s="51">
        <v>0</v>
      </c>
      <c r="Q181" s="51">
        <v>0</v>
      </c>
      <c r="R181" s="51">
        <v>0</v>
      </c>
      <c r="S181" s="51">
        <v>0</v>
      </c>
      <c r="T181" s="51"/>
      <c r="U181" s="51">
        <f t="shared" si="58"/>
        <v>0</v>
      </c>
      <c r="V181" s="51">
        <v>0</v>
      </c>
      <c r="W181" s="51">
        <v>0</v>
      </c>
      <c r="X181" s="68" t="s">
        <v>206</v>
      </c>
      <c r="AB181" s="86"/>
      <c r="AC181" s="86" t="s">
        <v>8</v>
      </c>
      <c r="AD181" s="86"/>
      <c r="AE181" s="86"/>
      <c r="AF181" s="86"/>
      <c r="AG181" s="86"/>
      <c r="AH181" s="87"/>
      <c r="AI181" s="87"/>
      <c r="AJ181" s="87"/>
      <c r="AK181" s="87"/>
      <c r="AL181" s="87"/>
      <c r="AM181" s="87"/>
      <c r="AN181" s="87"/>
      <c r="AO181" s="87"/>
      <c r="AP181" s="87"/>
      <c r="AQ181" s="87"/>
      <c r="AR181" s="87"/>
      <c r="AS181" s="87"/>
      <c r="AT181" s="87"/>
      <c r="AU181" s="87"/>
      <c r="AV181" s="87"/>
      <c r="AW181" s="87"/>
      <c r="AX181" s="87"/>
      <c r="AY181" s="88"/>
      <c r="AZ181" s="88"/>
      <c r="BA181" s="88"/>
      <c r="BB181" s="89"/>
    </row>
    <row r="182" spans="1:54" ht="15" thickBot="1" x14ac:dyDescent="0.35">
      <c r="A182" s="50"/>
      <c r="B182" s="50"/>
      <c r="C182" s="50" t="s">
        <v>9</v>
      </c>
      <c r="D182" s="50"/>
      <c r="E182" s="50"/>
      <c r="F182" s="50"/>
      <c r="G182" s="50"/>
      <c r="H182" s="54">
        <f t="shared" ref="H182:P182" si="61">ROUND(SUM(H178:H181),5)</f>
        <v>4326.8599999999997</v>
      </c>
      <c r="I182" s="54">
        <f t="shared" si="61"/>
        <v>-7360.71</v>
      </c>
      <c r="J182" s="54">
        <f t="shared" si="61"/>
        <v>-12262.78</v>
      </c>
      <c r="K182" s="54">
        <f t="shared" si="61"/>
        <v>-15312.76</v>
      </c>
      <c r="L182" s="54">
        <f t="shared" si="61"/>
        <v>-7089.43</v>
      </c>
      <c r="M182" s="54">
        <f t="shared" si="61"/>
        <v>-12210.57</v>
      </c>
      <c r="N182" s="54">
        <f t="shared" si="61"/>
        <v>-29460.3</v>
      </c>
      <c r="O182" s="54">
        <f t="shared" si="61"/>
        <v>-22606.21</v>
      </c>
      <c r="P182" s="54">
        <f t="shared" si="61"/>
        <v>-54477.599999999999</v>
      </c>
      <c r="Q182" s="54">
        <f>ROUND(SUM(Q178:Q181),5)</f>
        <v>-43909.78</v>
      </c>
      <c r="R182" s="54">
        <f>ROUND(SUM(R178:R181),5)</f>
        <v>9284.9</v>
      </c>
      <c r="S182" s="54">
        <f>ROUND(SUM(S178:S181),5)</f>
        <v>-10762.94</v>
      </c>
      <c r="T182" s="54"/>
      <c r="U182" s="54">
        <f t="shared" si="58"/>
        <v>-201841.32</v>
      </c>
      <c r="V182" s="54">
        <f>ROUND(SUM(V178:V181),5)</f>
        <v>0</v>
      </c>
      <c r="W182" s="54">
        <f>ROUND(SUM(W178:W181),5)</f>
        <v>0</v>
      </c>
      <c r="AB182" s="86"/>
      <c r="AC182" s="86"/>
      <c r="AD182" s="86" t="s">
        <v>196</v>
      </c>
      <c r="AE182" s="86"/>
      <c r="AF182" s="86"/>
      <c r="AG182" s="86"/>
      <c r="AH182" s="87"/>
      <c r="AI182" s="87"/>
      <c r="AJ182" s="87"/>
      <c r="AK182" s="87"/>
      <c r="AL182" s="87"/>
      <c r="AM182" s="87"/>
      <c r="AN182" s="87"/>
      <c r="AO182" s="87"/>
      <c r="AP182" s="87"/>
      <c r="AQ182" s="87"/>
      <c r="AR182" s="87"/>
      <c r="AS182" s="87"/>
      <c r="AT182" s="87"/>
      <c r="AU182" s="87"/>
      <c r="AV182" s="87"/>
      <c r="AW182" s="87"/>
      <c r="AX182" s="87"/>
      <c r="AY182" s="88"/>
      <c r="AZ182" s="88"/>
      <c r="BA182" s="88"/>
      <c r="BB182" s="89"/>
    </row>
    <row r="183" spans="1:54" ht="22.2" thickBot="1" x14ac:dyDescent="0.35">
      <c r="A183" s="50"/>
      <c r="B183" s="50" t="s">
        <v>10</v>
      </c>
      <c r="C183" s="50"/>
      <c r="D183" s="50"/>
      <c r="E183" s="50"/>
      <c r="F183" s="50"/>
      <c r="G183" s="50"/>
      <c r="H183" s="54">
        <f t="shared" ref="H183:P183" si="62">ROUND(H177+H182,5)</f>
        <v>4326.8599999999997</v>
      </c>
      <c r="I183" s="54">
        <f t="shared" si="62"/>
        <v>-7360.71</v>
      </c>
      <c r="J183" s="54">
        <f t="shared" si="62"/>
        <v>-12262.78</v>
      </c>
      <c r="K183" s="54">
        <f t="shared" si="62"/>
        <v>-15312.76</v>
      </c>
      <c r="L183" s="54">
        <f t="shared" si="62"/>
        <v>-7089.43</v>
      </c>
      <c r="M183" s="54">
        <f t="shared" si="62"/>
        <v>-12210.57</v>
      </c>
      <c r="N183" s="54">
        <f t="shared" si="62"/>
        <v>-29460.3</v>
      </c>
      <c r="O183" s="54">
        <f t="shared" si="62"/>
        <v>-22606.21</v>
      </c>
      <c r="P183" s="54">
        <f t="shared" si="62"/>
        <v>-54477.599999999999</v>
      </c>
      <c r="Q183" s="54">
        <f>ROUND(Q177+Q182,5)</f>
        <v>-43909.78</v>
      </c>
      <c r="R183" s="54">
        <f>ROUND(R177+R182,5)</f>
        <v>9284.9</v>
      </c>
      <c r="S183" s="54">
        <f>ROUND(S177+S182,5)</f>
        <v>-10762.94</v>
      </c>
      <c r="T183" s="54"/>
      <c r="U183" s="54">
        <f t="shared" si="58"/>
        <v>-201841.32</v>
      </c>
      <c r="V183" s="54">
        <f>ROUND(V177+V182,5)</f>
        <v>0</v>
      </c>
      <c r="W183" s="54">
        <f>ROUND(W177+W182,5)</f>
        <v>0</v>
      </c>
      <c r="AB183" s="86"/>
      <c r="AC183" s="86"/>
      <c r="AD183" s="86" t="s">
        <v>197</v>
      </c>
      <c r="AE183" s="86"/>
      <c r="AF183" s="86"/>
      <c r="AG183" s="86"/>
      <c r="AH183" s="87"/>
      <c r="AI183" s="87"/>
      <c r="AJ183" s="87"/>
      <c r="AK183" s="87"/>
      <c r="AL183" s="87">
        <v>0</v>
      </c>
      <c r="AM183" s="87">
        <v>0</v>
      </c>
      <c r="AN183" s="87">
        <v>0</v>
      </c>
      <c r="AO183" s="87">
        <v>0</v>
      </c>
      <c r="AP183" s="87">
        <v>0</v>
      </c>
      <c r="AQ183" s="87">
        <v>0</v>
      </c>
      <c r="AR183" s="87">
        <v>2768.64</v>
      </c>
      <c r="AS183" s="87">
        <v>0</v>
      </c>
      <c r="AT183" s="87">
        <v>0</v>
      </c>
      <c r="AU183" s="87">
        <v>0</v>
      </c>
      <c r="AV183" s="87">
        <v>0</v>
      </c>
      <c r="AW183" s="87">
        <v>0</v>
      </c>
      <c r="AX183" s="87"/>
      <c r="AY183" s="88">
        <f>ROUND(SUM(AH183:AX183),5)</f>
        <v>2768.64</v>
      </c>
      <c r="AZ183" s="88">
        <v>0</v>
      </c>
      <c r="BA183" s="88">
        <v>0</v>
      </c>
      <c r="BB183" s="89" t="s">
        <v>206</v>
      </c>
    </row>
    <row r="184" spans="1:54" ht="22.2" thickBot="1" x14ac:dyDescent="0.35">
      <c r="A184" s="50" t="s">
        <v>11</v>
      </c>
      <c r="B184" s="50"/>
      <c r="C184" s="50"/>
      <c r="D184" s="50"/>
      <c r="E184" s="50"/>
      <c r="F184" s="50"/>
      <c r="G184" s="50"/>
      <c r="H184" s="55">
        <f t="shared" ref="H184:P184" si="63">ROUND(H176+H183,5)</f>
        <v>24972.79</v>
      </c>
      <c r="I184" s="55">
        <f t="shared" si="63"/>
        <v>-28495.56</v>
      </c>
      <c r="J184" s="55">
        <f t="shared" si="63"/>
        <v>38740.58</v>
      </c>
      <c r="K184" s="55">
        <f t="shared" si="63"/>
        <v>11335.13</v>
      </c>
      <c r="L184" s="55">
        <f t="shared" si="63"/>
        <v>-18880.61</v>
      </c>
      <c r="M184" s="55">
        <f t="shared" si="63"/>
        <v>229859.34</v>
      </c>
      <c r="N184" s="55">
        <f t="shared" si="63"/>
        <v>131497.29</v>
      </c>
      <c r="O184" s="55">
        <f t="shared" si="63"/>
        <v>-7491.57</v>
      </c>
      <c r="P184" s="55">
        <f t="shared" si="63"/>
        <v>-373401.36</v>
      </c>
      <c r="Q184" s="55">
        <f>ROUND(Q176+Q183,5)</f>
        <v>2505.31</v>
      </c>
      <c r="R184" s="55">
        <f>ROUND(R176+R183,5)</f>
        <v>-14589.74</v>
      </c>
      <c r="S184" s="55">
        <f>ROUND(S176+S183,5)</f>
        <v>-422525.19</v>
      </c>
      <c r="T184" s="55"/>
      <c r="U184" s="55">
        <f t="shared" si="58"/>
        <v>-426473.59</v>
      </c>
      <c r="V184" s="55">
        <f>ROUND(V176+V183,5)</f>
        <v>-351500</v>
      </c>
      <c r="W184" s="55">
        <f>ROUND(W176+W183,5)</f>
        <v>0</v>
      </c>
      <c r="AB184" s="86"/>
      <c r="AC184" s="86" t="s">
        <v>9</v>
      </c>
      <c r="AD184" s="86"/>
      <c r="AE184" s="86"/>
      <c r="AF184" s="86"/>
      <c r="AG184" s="86"/>
      <c r="AH184" s="87"/>
      <c r="AI184" s="87"/>
      <c r="AJ184" s="87"/>
      <c r="AK184" s="87"/>
      <c r="AL184" s="87">
        <v>3379.65</v>
      </c>
      <c r="AM184" s="87">
        <v>-3012.35</v>
      </c>
      <c r="AN184" s="87">
        <v>-3352.29</v>
      </c>
      <c r="AO184" s="87">
        <v>-8759.74</v>
      </c>
      <c r="AP184" s="87">
        <v>2275.2600000000002</v>
      </c>
      <c r="AQ184" s="87">
        <v>-9141.42</v>
      </c>
      <c r="AR184" s="87">
        <v>-5290.7</v>
      </c>
      <c r="AS184" s="87">
        <v>-9875.18</v>
      </c>
      <c r="AT184" s="87">
        <v>-10281.08</v>
      </c>
      <c r="AU184" s="87">
        <v>-4192.53</v>
      </c>
      <c r="AV184" s="87">
        <v>11137.13</v>
      </c>
      <c r="AW184" s="87">
        <v>-416.52</v>
      </c>
      <c r="AX184" s="87"/>
      <c r="AY184" s="88">
        <f>ROUND(SUM(AH184:AX184),5)</f>
        <v>-37529.769999999997</v>
      </c>
      <c r="AZ184" s="88">
        <v>0</v>
      </c>
      <c r="BA184" s="88">
        <v>0</v>
      </c>
      <c r="BB184" s="89" t="s">
        <v>206</v>
      </c>
    </row>
    <row r="185" spans="1:54" ht="15.6" thickTop="1" thickBot="1" x14ac:dyDescent="0.35">
      <c r="AB185" s="86" t="s">
        <v>10</v>
      </c>
      <c r="AC185" s="86"/>
      <c r="AD185" s="86"/>
      <c r="AE185" s="86"/>
      <c r="AF185" s="86"/>
      <c r="AG185" s="86"/>
      <c r="AH185" s="96"/>
      <c r="AI185" s="96"/>
      <c r="AJ185" s="96"/>
      <c r="AK185" s="96"/>
      <c r="AL185" s="96">
        <f t="shared" ref="AL185:AW185" si="64">ROUND(SUM(AL182:AL184),5)</f>
        <v>3379.65</v>
      </c>
      <c r="AM185" s="96">
        <f t="shared" si="64"/>
        <v>-3012.35</v>
      </c>
      <c r="AN185" s="96">
        <f t="shared" si="64"/>
        <v>-3352.29</v>
      </c>
      <c r="AO185" s="96">
        <f t="shared" si="64"/>
        <v>-8759.74</v>
      </c>
      <c r="AP185" s="96">
        <f t="shared" si="64"/>
        <v>2275.2600000000002</v>
      </c>
      <c r="AQ185" s="96">
        <f t="shared" si="64"/>
        <v>-9141.42</v>
      </c>
      <c r="AR185" s="96">
        <f t="shared" si="64"/>
        <v>-2522.06</v>
      </c>
      <c r="AS185" s="96">
        <f t="shared" si="64"/>
        <v>-9875.18</v>
      </c>
      <c r="AT185" s="96">
        <f t="shared" si="64"/>
        <v>-10281.08</v>
      </c>
      <c r="AU185" s="96">
        <f t="shared" si="64"/>
        <v>-4192.53</v>
      </c>
      <c r="AV185" s="96">
        <f t="shared" si="64"/>
        <v>11137.13</v>
      </c>
      <c r="AW185" s="96">
        <f t="shared" si="64"/>
        <v>-416.52</v>
      </c>
      <c r="AX185" s="96"/>
      <c r="AY185" s="97">
        <f>ROUND(SUM(AH185:AX185),5)</f>
        <v>-34761.129999999997</v>
      </c>
      <c r="AZ185" s="97">
        <f>ROUND(SUM(AZ182:AZ184),5)</f>
        <v>0</v>
      </c>
      <c r="BA185" s="97">
        <f>ROUND(SUM(BA182:BA184),5)</f>
        <v>0</v>
      </c>
      <c r="BB185" s="98"/>
    </row>
    <row r="186" spans="1:54" ht="15" thickBot="1" x14ac:dyDescent="0.35">
      <c r="AB186" s="86"/>
      <c r="AC186" s="86"/>
      <c r="AD186" s="86"/>
      <c r="AE186" s="86"/>
      <c r="AF186" s="86"/>
      <c r="AG186" s="86"/>
      <c r="AH186" s="96"/>
      <c r="AI186" s="96"/>
      <c r="AJ186" s="96"/>
      <c r="AK186" s="96"/>
      <c r="AL186" s="96">
        <f t="shared" ref="AL186:AW186" si="65">ROUND(AL181+AL185,5)</f>
        <v>3379.65</v>
      </c>
      <c r="AM186" s="96">
        <f t="shared" si="65"/>
        <v>-3012.35</v>
      </c>
      <c r="AN186" s="96">
        <f t="shared" si="65"/>
        <v>-3352.29</v>
      </c>
      <c r="AO186" s="96">
        <f t="shared" si="65"/>
        <v>-8759.74</v>
      </c>
      <c r="AP186" s="96">
        <f t="shared" si="65"/>
        <v>2275.2600000000002</v>
      </c>
      <c r="AQ186" s="96">
        <f t="shared" si="65"/>
        <v>-9141.42</v>
      </c>
      <c r="AR186" s="96">
        <f t="shared" si="65"/>
        <v>-2522.06</v>
      </c>
      <c r="AS186" s="96">
        <f t="shared" si="65"/>
        <v>-9875.18</v>
      </c>
      <c r="AT186" s="96">
        <f t="shared" si="65"/>
        <v>-10281.08</v>
      </c>
      <c r="AU186" s="96">
        <f t="shared" si="65"/>
        <v>-4192.53</v>
      </c>
      <c r="AV186" s="96">
        <f t="shared" si="65"/>
        <v>11137.13</v>
      </c>
      <c r="AW186" s="96">
        <f t="shared" si="65"/>
        <v>-416.52</v>
      </c>
      <c r="AX186" s="96"/>
      <c r="AY186" s="97">
        <f>ROUND(SUM(AH186:AX186),5)</f>
        <v>-34761.129999999997</v>
      </c>
      <c r="AZ186" s="97">
        <f>ROUND(AZ181+AZ185,5)</f>
        <v>0</v>
      </c>
      <c r="BA186" s="97">
        <f>ROUND(BA181+BA185,5)</f>
        <v>0</v>
      </c>
      <c r="BB186" s="98"/>
    </row>
    <row r="187" spans="1:54" ht="15" thickBot="1" x14ac:dyDescent="0.35">
      <c r="AF187" s="86"/>
      <c r="AG187" s="86"/>
      <c r="AH187" s="106"/>
      <c r="AI187" s="106"/>
      <c r="AJ187" s="106"/>
      <c r="AK187" s="106"/>
      <c r="AL187" s="106">
        <f t="shared" ref="AL187:AW187" si="66">ROUND(AL180+AL186,5)</f>
        <v>-5461.39</v>
      </c>
      <c r="AM187" s="106">
        <f t="shared" si="66"/>
        <v>-13891.62</v>
      </c>
      <c r="AN187" s="106">
        <f t="shared" si="66"/>
        <v>-5677.73</v>
      </c>
      <c r="AO187" s="106">
        <f t="shared" si="66"/>
        <v>34737.85</v>
      </c>
      <c r="AP187" s="106">
        <f t="shared" si="66"/>
        <v>-11168.92</v>
      </c>
      <c r="AQ187" s="106">
        <f t="shared" si="66"/>
        <v>201781.62</v>
      </c>
      <c r="AR187" s="106">
        <f t="shared" si="66"/>
        <v>209369.41</v>
      </c>
      <c r="AS187" s="106">
        <f t="shared" si="66"/>
        <v>16803.47</v>
      </c>
      <c r="AT187" s="106">
        <f t="shared" si="66"/>
        <v>7166.63</v>
      </c>
      <c r="AU187" s="106">
        <f t="shared" si="66"/>
        <v>40104.85</v>
      </c>
      <c r="AV187" s="106">
        <f t="shared" si="66"/>
        <v>183958.75</v>
      </c>
      <c r="AW187" s="106">
        <f t="shared" si="66"/>
        <v>16013.61</v>
      </c>
      <c r="AX187" s="106"/>
      <c r="AY187" s="107">
        <f>ROUND(SUM(AH187:AX187),5)</f>
        <v>673736.53</v>
      </c>
      <c r="AZ187" s="107">
        <f>ROUND(AZ180+AZ186,5)</f>
        <v>-366500</v>
      </c>
      <c r="BA187" s="107">
        <f>ROUND(BA180+BA186,5)</f>
        <v>-351500</v>
      </c>
      <c r="BB187" s="108"/>
    </row>
    <row r="188" spans="1:54" ht="15" thickTop="1" x14ac:dyDescent="0.3"/>
  </sheetData>
  <printOptions horizontalCentered="1"/>
  <pageMargins left="0.7" right="0.7" top="0.75" bottom="0.75" header="0.1" footer="0.3"/>
  <pageSetup orientation="portrait" horizontalDpi="0" verticalDpi="0" r:id="rId1"/>
  <headerFooter>
    <oddHeader>&amp;C&amp;"Arial,Bold"&amp;12 Temecula Public Cemetery District
&amp;14Second&amp;12 &amp;14Draft Budget
22-23</oddHeader>
    <oddFooter>&amp;R&amp;"Arial,Bold"&amp;8 Page &amp;P of &amp;N</oddFooter>
  </headerFooter>
  <drawing r:id="rId2"/>
  <legacyDrawing r:id="rId3"/>
  <controls>
    <mc:AlternateContent xmlns:mc="http://schemas.openxmlformats.org/markup-compatibility/2006">
      <mc:Choice Requires="x14">
        <control shapeId="126978" r:id="rId4" name="HEADER">
          <controlPr defaultSize="0" autoLine="0" r:id="rId5">
            <anchor moveWithCells="1">
              <from>
                <xdr:col>0</xdr:col>
                <xdr:colOff>0</xdr:colOff>
                <xdr:row>0</xdr:row>
                <xdr:rowOff>0</xdr:rowOff>
              </from>
              <to>
                <xdr:col>4</xdr:col>
                <xdr:colOff>68580</xdr:colOff>
                <xdr:row>0</xdr:row>
                <xdr:rowOff>236220</xdr:rowOff>
              </to>
            </anchor>
          </controlPr>
        </control>
      </mc:Choice>
      <mc:Fallback>
        <control shapeId="126978" r:id="rId4" name="HEADER"/>
      </mc:Fallback>
    </mc:AlternateContent>
    <mc:AlternateContent xmlns:mc="http://schemas.openxmlformats.org/markup-compatibility/2006">
      <mc:Choice Requires="x14">
        <control shapeId="126977" r:id="rId6" name="FILTER">
          <controlPr defaultSize="0" autoLine="0" r:id="rId7">
            <anchor moveWithCells="1">
              <from>
                <xdr:col>0</xdr:col>
                <xdr:colOff>0</xdr:colOff>
                <xdr:row>0</xdr:row>
                <xdr:rowOff>0</xdr:rowOff>
              </from>
              <to>
                <xdr:col>4</xdr:col>
                <xdr:colOff>68580</xdr:colOff>
                <xdr:row>0</xdr:row>
                <xdr:rowOff>236220</xdr:rowOff>
              </to>
            </anchor>
          </controlPr>
        </control>
      </mc:Choice>
      <mc:Fallback>
        <control shapeId="126977" r:id="rId6" name="FILTER"/>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27111-55A3-49FA-8350-23188365097F}">
  <sheetPr codeName="Sheet4"/>
  <dimension ref="A1:BD188"/>
  <sheetViews>
    <sheetView workbookViewId="0">
      <pane xSplit="7" ySplit="1" topLeftCell="H49" activePane="bottomRight" state="frozenSplit"/>
      <selection pane="topRight" activeCell="H1" sqref="H1"/>
      <selection pane="bottomLeft" activeCell="A2" sqref="A2"/>
      <selection pane="bottomRight" activeCell="W62" sqref="W62"/>
    </sheetView>
  </sheetViews>
  <sheetFormatPr defaultRowHeight="14.4" x14ac:dyDescent="0.3"/>
  <cols>
    <col min="1" max="6" width="3" style="56" customWidth="1"/>
    <col min="7" max="7" width="30.5546875" style="56" customWidth="1"/>
    <col min="8" max="8" width="7.88671875" customWidth="1"/>
    <col min="9" max="12" width="8.44140625" customWidth="1"/>
    <col min="13" max="14" width="8.6640625" customWidth="1"/>
    <col min="15" max="15" width="8.44140625" customWidth="1"/>
    <col min="16" max="16" width="9.33203125" customWidth="1"/>
    <col min="17" max="17" width="7.88671875" customWidth="1"/>
    <col min="18" max="19" width="8.6640625" customWidth="1"/>
    <col min="20" max="20" width="8.33203125" customWidth="1"/>
    <col min="21" max="23" width="10" bestFit="1" customWidth="1"/>
    <col min="24" max="24" width="45.6640625" style="68" customWidth="1"/>
    <col min="25" max="27" width="8.88671875" customWidth="1"/>
    <col min="28" max="32" width="3" style="105" customWidth="1"/>
    <col min="33" max="33" width="23.44140625" style="105" customWidth="1"/>
    <col min="34" max="35" width="7.109375" style="109" customWidth="1"/>
    <col min="36" max="36" width="7.88671875" style="109" customWidth="1"/>
    <col min="37" max="37" width="8.33203125" style="109" customWidth="1"/>
    <col min="38" max="38" width="7.109375" style="109" customWidth="1"/>
    <col min="39" max="39" width="7.5546875" style="109" customWidth="1"/>
    <col min="40" max="41" width="7.109375" style="109" customWidth="1"/>
    <col min="42" max="42" width="7.5546875" style="109" customWidth="1"/>
    <col min="43" max="44" width="7.88671875" style="109" customWidth="1"/>
    <col min="45" max="45" width="7.109375" style="109" customWidth="1"/>
    <col min="46" max="46" width="7.5546875" style="109" customWidth="1"/>
    <col min="47" max="49" width="9.5546875" style="109" customWidth="1"/>
    <col min="50" max="50" width="7.5546875" style="109" customWidth="1"/>
    <col min="51" max="51" width="10.109375" style="110" customWidth="1"/>
    <col min="52" max="52" width="9.5546875" style="110" customWidth="1"/>
    <col min="53" max="53" width="10" style="110" customWidth="1"/>
    <col min="54" max="54" width="22.88671875" style="111" customWidth="1"/>
    <col min="55" max="56" width="8.88671875" customWidth="1"/>
  </cols>
  <sheetData>
    <row r="1" spans="1:54" s="65" customFormat="1" ht="33.75" customHeight="1" thickBot="1" x14ac:dyDescent="0.25">
      <c r="A1" s="63"/>
      <c r="B1" s="63"/>
      <c r="C1" s="63"/>
      <c r="D1" s="63"/>
      <c r="E1" s="63"/>
      <c r="F1" s="63"/>
      <c r="G1" s="63"/>
      <c r="H1" s="64" t="s">
        <v>266</v>
      </c>
      <c r="I1" s="64" t="s">
        <v>267</v>
      </c>
      <c r="J1" s="64" t="s">
        <v>268</v>
      </c>
      <c r="K1" s="64" t="s">
        <v>269</v>
      </c>
      <c r="L1" s="64" t="s">
        <v>270</v>
      </c>
      <c r="M1" s="64" t="s">
        <v>271</v>
      </c>
      <c r="N1" s="64" t="s">
        <v>272</v>
      </c>
      <c r="O1" s="64" t="s">
        <v>273</v>
      </c>
      <c r="P1" s="64" t="s">
        <v>274</v>
      </c>
      <c r="Q1" s="64" t="s">
        <v>294</v>
      </c>
      <c r="R1" s="64" t="s">
        <v>306</v>
      </c>
      <c r="S1" s="64" t="s">
        <v>282</v>
      </c>
      <c r="T1" s="64"/>
      <c r="U1" s="64" t="s">
        <v>0</v>
      </c>
      <c r="V1" s="64" t="s">
        <v>308</v>
      </c>
      <c r="W1" s="64" t="s">
        <v>283</v>
      </c>
      <c r="X1" s="68"/>
      <c r="AB1" s="83"/>
      <c r="AC1" s="83"/>
      <c r="AD1" s="83"/>
      <c r="AE1" s="83"/>
      <c r="AF1" s="83"/>
      <c r="AG1" s="83"/>
      <c r="AH1" s="84"/>
      <c r="AI1" s="84"/>
      <c r="AJ1" s="84"/>
      <c r="AK1" s="84"/>
      <c r="AL1" s="84" t="s">
        <v>221</v>
      </c>
      <c r="AM1" s="84" t="s">
        <v>222</v>
      </c>
      <c r="AN1" s="84" t="s">
        <v>223</v>
      </c>
      <c r="AO1" s="84" t="s">
        <v>224</v>
      </c>
      <c r="AP1" s="84" t="s">
        <v>225</v>
      </c>
      <c r="AQ1" s="84" t="s">
        <v>226</v>
      </c>
      <c r="AR1" s="84" t="s">
        <v>227</v>
      </c>
      <c r="AS1" s="84" t="s">
        <v>228</v>
      </c>
      <c r="AT1" s="84" t="s">
        <v>229</v>
      </c>
      <c r="AU1" s="84" t="s">
        <v>260</v>
      </c>
      <c r="AV1" s="84" t="s">
        <v>234</v>
      </c>
      <c r="AW1" s="84" t="s">
        <v>235</v>
      </c>
      <c r="AX1" s="84"/>
      <c r="AY1" s="85" t="s">
        <v>236</v>
      </c>
      <c r="AZ1" s="85" t="s">
        <v>220</v>
      </c>
      <c r="BA1" s="85" t="s">
        <v>240</v>
      </c>
      <c r="BB1" s="85" t="s">
        <v>241</v>
      </c>
    </row>
    <row r="2" spans="1:54" ht="15" thickTop="1" x14ac:dyDescent="0.3">
      <c r="A2" s="50"/>
      <c r="B2" s="50" t="s">
        <v>1</v>
      </c>
      <c r="C2" s="50"/>
      <c r="D2" s="50"/>
      <c r="E2" s="50"/>
      <c r="F2" s="50"/>
      <c r="G2" s="50"/>
      <c r="H2" s="51"/>
      <c r="I2" s="51"/>
      <c r="J2" s="51"/>
      <c r="K2" s="51"/>
      <c r="L2" s="51"/>
      <c r="M2" s="51"/>
      <c r="N2" s="51"/>
      <c r="O2" s="51"/>
      <c r="P2" s="51"/>
      <c r="Q2" s="51"/>
      <c r="R2" s="51"/>
      <c r="S2" s="51"/>
      <c r="T2" s="51"/>
      <c r="U2" s="51"/>
      <c r="V2" s="51"/>
      <c r="W2" s="51"/>
      <c r="AB2" s="86" t="s">
        <v>1</v>
      </c>
      <c r="AC2" s="86"/>
      <c r="AD2" s="86"/>
      <c r="AE2" s="86"/>
      <c r="AF2" s="86"/>
      <c r="AG2" s="86"/>
      <c r="AH2" s="87"/>
      <c r="AI2" s="87"/>
      <c r="AJ2" s="87"/>
      <c r="AK2" s="87"/>
      <c r="AL2" s="87"/>
      <c r="AM2" s="87"/>
      <c r="AN2" s="87"/>
      <c r="AO2" s="87"/>
      <c r="AP2" s="87"/>
      <c r="AQ2" s="87"/>
      <c r="AR2" s="87"/>
      <c r="AS2" s="87"/>
      <c r="AT2" s="87"/>
      <c r="AU2" s="87"/>
      <c r="AV2" s="87"/>
      <c r="AW2" s="87"/>
      <c r="AX2" s="87"/>
      <c r="AY2" s="88"/>
      <c r="AZ2" s="88"/>
      <c r="BA2" s="88"/>
      <c r="BB2" s="89"/>
    </row>
    <row r="3" spans="1:54" x14ac:dyDescent="0.3">
      <c r="A3" s="50"/>
      <c r="B3" s="50"/>
      <c r="C3" s="50"/>
      <c r="D3" s="50" t="s">
        <v>2</v>
      </c>
      <c r="E3" s="50"/>
      <c r="F3" s="50"/>
      <c r="G3" s="50"/>
      <c r="H3" s="51"/>
      <c r="I3" s="51"/>
      <c r="J3" s="51"/>
      <c r="K3" s="51"/>
      <c r="L3" s="51"/>
      <c r="M3" s="51"/>
      <c r="N3" s="51"/>
      <c r="O3" s="51"/>
      <c r="P3" s="51"/>
      <c r="Q3" s="51"/>
      <c r="R3" s="51"/>
      <c r="S3" s="51"/>
      <c r="T3" s="51"/>
      <c r="U3" s="51"/>
      <c r="V3" s="51"/>
      <c r="W3" s="51"/>
      <c r="AB3" s="86"/>
      <c r="AC3" s="86"/>
      <c r="AD3" s="86" t="s">
        <v>2</v>
      </c>
      <c r="AE3" s="86"/>
      <c r="AF3" s="86"/>
      <c r="AG3" s="86"/>
      <c r="AH3" s="87"/>
      <c r="AI3" s="87"/>
      <c r="AJ3" s="87"/>
      <c r="AK3" s="87"/>
      <c r="AL3" s="87"/>
      <c r="AM3" s="87"/>
      <c r="AN3" s="87"/>
      <c r="AO3" s="87"/>
      <c r="AP3" s="87"/>
      <c r="AQ3" s="87"/>
      <c r="AR3" s="87"/>
      <c r="AS3" s="87"/>
      <c r="AT3" s="87"/>
      <c r="AU3" s="87"/>
      <c r="AV3" s="87"/>
      <c r="AW3" s="87"/>
      <c r="AX3" s="87"/>
      <c r="AY3" s="88"/>
      <c r="AZ3" s="88"/>
      <c r="BA3" s="88"/>
      <c r="BB3" s="89"/>
    </row>
    <row r="4" spans="1:54" x14ac:dyDescent="0.3">
      <c r="A4" s="50"/>
      <c r="B4" s="50"/>
      <c r="C4" s="50"/>
      <c r="D4" s="50"/>
      <c r="E4" s="50" t="s">
        <v>74</v>
      </c>
      <c r="F4" s="50"/>
      <c r="G4" s="50"/>
      <c r="H4" s="51"/>
      <c r="I4" s="51"/>
      <c r="J4" s="51"/>
      <c r="K4" s="51"/>
      <c r="L4" s="51"/>
      <c r="M4" s="51"/>
      <c r="N4" s="51"/>
      <c r="O4" s="51"/>
      <c r="P4" s="51"/>
      <c r="Q4" s="51"/>
      <c r="R4" s="51"/>
      <c r="S4" s="51"/>
      <c r="T4" s="51"/>
      <c r="U4" s="51"/>
      <c r="V4" s="51"/>
      <c r="W4" s="51"/>
      <c r="AB4" s="86"/>
      <c r="AC4" s="86"/>
      <c r="AD4" s="86"/>
      <c r="AE4" s="86" t="s">
        <v>74</v>
      </c>
      <c r="AF4" s="86"/>
      <c r="AG4" s="86"/>
      <c r="AH4" s="87"/>
      <c r="AI4" s="87"/>
      <c r="AJ4" s="87"/>
      <c r="AK4" s="87"/>
      <c r="AL4" s="87"/>
      <c r="AM4" s="87"/>
      <c r="AN4" s="87"/>
      <c r="AO4" s="87"/>
      <c r="AP4" s="87"/>
      <c r="AQ4" s="87"/>
      <c r="AR4" s="87"/>
      <c r="AS4" s="87"/>
      <c r="AT4" s="87"/>
      <c r="AU4" s="87"/>
      <c r="AV4" s="87"/>
      <c r="AW4" s="87"/>
      <c r="AX4" s="87"/>
      <c r="AY4" s="88"/>
      <c r="AZ4" s="88"/>
      <c r="BA4" s="88"/>
      <c r="BB4" s="89"/>
    </row>
    <row r="5" spans="1:54" x14ac:dyDescent="0.3">
      <c r="A5" s="50"/>
      <c r="B5" s="50"/>
      <c r="C5" s="50"/>
      <c r="D5" s="50"/>
      <c r="E5" s="50"/>
      <c r="F5" s="50" t="s">
        <v>75</v>
      </c>
      <c r="G5" s="50"/>
      <c r="H5" s="51">
        <v>0</v>
      </c>
      <c r="I5" s="51">
        <v>0</v>
      </c>
      <c r="J5" s="51">
        <v>0</v>
      </c>
      <c r="K5" s="51">
        <v>10434.290000000001</v>
      </c>
      <c r="L5" s="51">
        <v>-1558.69</v>
      </c>
      <c r="M5" s="51">
        <v>207958.45</v>
      </c>
      <c r="N5" s="51">
        <v>168614.58</v>
      </c>
      <c r="O5" s="51">
        <v>0</v>
      </c>
      <c r="P5" s="51">
        <v>0</v>
      </c>
      <c r="Q5" s="51">
        <v>69317.960000000006</v>
      </c>
      <c r="R5" s="51">
        <v>207662.09</v>
      </c>
      <c r="S5" s="51">
        <v>16877</v>
      </c>
      <c r="T5" s="51"/>
      <c r="U5" s="51">
        <f t="shared" ref="U5:U15" si="0">ROUND(SUM(H5:T5),5)</f>
        <v>679305.68</v>
      </c>
      <c r="V5" s="67">
        <v>663000</v>
      </c>
      <c r="W5" s="67">
        <f>663000-766800+800000</f>
        <v>696200</v>
      </c>
      <c r="AB5" s="86"/>
      <c r="AC5" s="86"/>
      <c r="AD5" s="86"/>
      <c r="AE5" s="86"/>
      <c r="AF5" s="86" t="s">
        <v>75</v>
      </c>
      <c r="AG5" s="86"/>
      <c r="AH5" s="87"/>
      <c r="AI5" s="87"/>
      <c r="AJ5" s="87"/>
      <c r="AK5" s="87"/>
      <c r="AL5" s="87">
        <v>-4000.33</v>
      </c>
      <c r="AM5" s="87">
        <v>0</v>
      </c>
      <c r="AN5" s="87">
        <v>0</v>
      </c>
      <c r="AO5" s="87">
        <v>0</v>
      </c>
      <c r="AP5" s="87">
        <v>0</v>
      </c>
      <c r="AQ5" s="87">
        <v>198022.72</v>
      </c>
      <c r="AR5" s="87">
        <v>156187.59</v>
      </c>
      <c r="AS5" s="87">
        <v>3095.51</v>
      </c>
      <c r="AT5" s="87">
        <v>0</v>
      </c>
      <c r="AU5" s="87">
        <v>66007.55</v>
      </c>
      <c r="AV5" s="87">
        <v>190781.16</v>
      </c>
      <c r="AW5" s="87">
        <v>13907</v>
      </c>
      <c r="AX5" s="87"/>
      <c r="AY5" s="88">
        <f t="shared" ref="AY5:AY15" si="1">ROUND(SUM(AH5:AX5),5)</f>
        <v>624001.19999999995</v>
      </c>
      <c r="AZ5" s="88">
        <v>625300</v>
      </c>
      <c r="BA5" s="88">
        <v>663000</v>
      </c>
      <c r="BB5" s="89"/>
    </row>
    <row r="6" spans="1:54" x14ac:dyDescent="0.3">
      <c r="A6" s="50"/>
      <c r="B6" s="50"/>
      <c r="C6" s="50"/>
      <c r="D6" s="50"/>
      <c r="E6" s="50"/>
      <c r="F6" s="50" t="s">
        <v>76</v>
      </c>
      <c r="G6" s="50"/>
      <c r="H6" s="51">
        <v>0</v>
      </c>
      <c r="I6" s="51">
        <v>2255.1999999999998</v>
      </c>
      <c r="J6" s="51">
        <v>0</v>
      </c>
      <c r="K6" s="51">
        <v>28316.05</v>
      </c>
      <c r="L6" s="51">
        <v>0</v>
      </c>
      <c r="M6" s="51">
        <v>0</v>
      </c>
      <c r="N6" s="51">
        <v>0</v>
      </c>
      <c r="O6" s="51">
        <v>0</v>
      </c>
      <c r="P6" s="51">
        <v>4147.16</v>
      </c>
      <c r="Q6" s="51">
        <v>0</v>
      </c>
      <c r="R6" s="51">
        <v>0</v>
      </c>
      <c r="S6" s="51">
        <v>2000</v>
      </c>
      <c r="T6" s="51"/>
      <c r="U6" s="51">
        <f t="shared" si="0"/>
        <v>36718.410000000003</v>
      </c>
      <c r="V6" s="67">
        <v>25000</v>
      </c>
      <c r="W6" s="67">
        <v>25000</v>
      </c>
      <c r="AB6" s="86"/>
      <c r="AC6" s="86"/>
      <c r="AD6" s="86"/>
      <c r="AE6" s="86"/>
      <c r="AF6" s="86" t="s">
        <v>76</v>
      </c>
      <c r="AG6" s="86"/>
      <c r="AH6" s="87"/>
      <c r="AI6" s="87"/>
      <c r="AJ6" s="87"/>
      <c r="AK6" s="87"/>
      <c r="AL6" s="87">
        <v>0</v>
      </c>
      <c r="AM6" s="87">
        <v>0</v>
      </c>
      <c r="AN6" s="87">
        <v>0</v>
      </c>
      <c r="AO6" s="87">
        <v>25398.66</v>
      </c>
      <c r="AP6" s="87">
        <v>0</v>
      </c>
      <c r="AQ6" s="87">
        <v>1708.76</v>
      </c>
      <c r="AR6" s="87">
        <v>0</v>
      </c>
      <c r="AS6" s="87">
        <v>0</v>
      </c>
      <c r="AT6" s="87">
        <v>0</v>
      </c>
      <c r="AU6" s="87">
        <v>0</v>
      </c>
      <c r="AV6" s="87">
        <v>0</v>
      </c>
      <c r="AW6" s="87">
        <v>17730</v>
      </c>
      <c r="AX6" s="87"/>
      <c r="AY6" s="88">
        <f t="shared" si="1"/>
        <v>44837.42</v>
      </c>
      <c r="AZ6" s="88">
        <v>15000</v>
      </c>
      <c r="BA6" s="88">
        <v>25000</v>
      </c>
      <c r="BB6" s="89" t="s">
        <v>254</v>
      </c>
    </row>
    <row r="7" spans="1:54" x14ac:dyDescent="0.3">
      <c r="A7" s="50"/>
      <c r="B7" s="50"/>
      <c r="C7" s="50"/>
      <c r="D7" s="50"/>
      <c r="E7" s="50"/>
      <c r="F7" s="50" t="s">
        <v>275</v>
      </c>
      <c r="G7" s="50"/>
      <c r="H7" s="51">
        <v>0</v>
      </c>
      <c r="I7" s="51">
        <v>-965.01</v>
      </c>
      <c r="J7" s="51">
        <v>0</v>
      </c>
      <c r="K7" s="51">
        <v>0</v>
      </c>
      <c r="L7" s="51">
        <v>0</v>
      </c>
      <c r="M7" s="51">
        <v>0</v>
      </c>
      <c r="N7" s="51">
        <v>0</v>
      </c>
      <c r="O7" s="51">
        <v>0</v>
      </c>
      <c r="P7" s="51">
        <v>0</v>
      </c>
      <c r="Q7" s="51">
        <v>0</v>
      </c>
      <c r="R7" s="51">
        <v>0</v>
      </c>
      <c r="S7" s="51">
        <v>0</v>
      </c>
      <c r="T7" s="51"/>
      <c r="U7" s="51">
        <f t="shared" si="0"/>
        <v>-965.01</v>
      </c>
      <c r="V7" s="51">
        <v>0</v>
      </c>
      <c r="W7" s="51">
        <v>0</v>
      </c>
      <c r="AB7" s="86"/>
      <c r="AC7" s="86"/>
      <c r="AD7" s="86"/>
      <c r="AE7" s="86"/>
      <c r="AF7" s="86"/>
      <c r="AG7" s="86"/>
      <c r="AH7" s="87"/>
      <c r="AI7" s="87"/>
      <c r="AJ7" s="87"/>
      <c r="AK7" s="87"/>
      <c r="AL7" s="87"/>
      <c r="AM7" s="87"/>
      <c r="AN7" s="87"/>
      <c r="AO7" s="87"/>
      <c r="AP7" s="87"/>
      <c r="AQ7" s="87"/>
      <c r="AR7" s="87"/>
      <c r="AS7" s="87"/>
      <c r="AT7" s="87"/>
      <c r="AU7" s="87"/>
      <c r="AV7" s="87"/>
      <c r="AW7" s="87"/>
      <c r="AX7" s="87"/>
      <c r="AY7" s="88"/>
      <c r="AZ7" s="88"/>
      <c r="BA7" s="88"/>
      <c r="BB7" s="89"/>
    </row>
    <row r="8" spans="1:54" x14ac:dyDescent="0.3">
      <c r="A8" s="50"/>
      <c r="B8" s="50"/>
      <c r="C8" s="50"/>
      <c r="D8" s="50"/>
      <c r="E8" s="50"/>
      <c r="F8" s="50" t="s">
        <v>77</v>
      </c>
      <c r="G8" s="50"/>
      <c r="H8" s="51">
        <v>0</v>
      </c>
      <c r="I8" s="51">
        <v>0</v>
      </c>
      <c r="J8" s="51">
        <v>0</v>
      </c>
      <c r="K8" s="51">
        <v>0</v>
      </c>
      <c r="L8" s="51">
        <v>0</v>
      </c>
      <c r="M8" s="51">
        <v>0</v>
      </c>
      <c r="N8" s="51">
        <v>0</v>
      </c>
      <c r="O8" s="51">
        <v>0</v>
      </c>
      <c r="P8" s="51">
        <v>0</v>
      </c>
      <c r="Q8" s="51">
        <v>0</v>
      </c>
      <c r="R8" s="51">
        <v>0</v>
      </c>
      <c r="S8" s="51">
        <v>3049</v>
      </c>
      <c r="T8" s="51"/>
      <c r="U8" s="51">
        <f t="shared" si="0"/>
        <v>3049</v>
      </c>
      <c r="V8" s="67">
        <v>9600</v>
      </c>
      <c r="W8" s="67">
        <v>9600</v>
      </c>
      <c r="AB8" s="86"/>
      <c r="AC8" s="86"/>
      <c r="AD8" s="86"/>
      <c r="AE8" s="86"/>
      <c r="AF8" s="86" t="s">
        <v>77</v>
      </c>
      <c r="AG8" s="86"/>
      <c r="AH8" s="87"/>
      <c r="AI8" s="87"/>
      <c r="AJ8" s="87"/>
      <c r="AK8" s="87"/>
      <c r="AL8" s="87">
        <v>0</v>
      </c>
      <c r="AM8" s="87">
        <v>0</v>
      </c>
      <c r="AN8" s="87">
        <v>0</v>
      </c>
      <c r="AO8" s="87">
        <v>0</v>
      </c>
      <c r="AP8" s="87">
        <v>0</v>
      </c>
      <c r="AQ8" s="87">
        <v>0</v>
      </c>
      <c r="AR8" s="87">
        <v>3744.8</v>
      </c>
      <c r="AS8" s="87">
        <v>0</v>
      </c>
      <c r="AT8" s="87">
        <v>2285.4699999999998</v>
      </c>
      <c r="AU8" s="87">
        <v>0</v>
      </c>
      <c r="AV8" s="87">
        <v>3115.61</v>
      </c>
      <c r="AW8" s="87">
        <v>260</v>
      </c>
      <c r="AX8" s="87"/>
      <c r="AY8" s="88">
        <f t="shared" si="1"/>
        <v>9405.8799999999992</v>
      </c>
      <c r="AZ8" s="88">
        <v>9000</v>
      </c>
      <c r="BA8" s="88">
        <v>9600</v>
      </c>
      <c r="BB8" s="89" t="s">
        <v>254</v>
      </c>
    </row>
    <row r="9" spans="1:54" x14ac:dyDescent="0.3">
      <c r="A9" s="50"/>
      <c r="B9" s="50"/>
      <c r="C9" s="50"/>
      <c r="D9" s="50"/>
      <c r="E9" s="50"/>
      <c r="F9" s="50" t="s">
        <v>78</v>
      </c>
      <c r="G9" s="50"/>
      <c r="H9" s="51">
        <v>0</v>
      </c>
      <c r="I9" s="51">
        <v>511.88</v>
      </c>
      <c r="J9" s="51">
        <v>0</v>
      </c>
      <c r="K9" s="51">
        <v>0</v>
      </c>
      <c r="L9" s="51">
        <v>0</v>
      </c>
      <c r="M9" s="51">
        <v>0</v>
      </c>
      <c r="N9" s="51">
        <v>0</v>
      </c>
      <c r="O9" s="51">
        <v>8608.42</v>
      </c>
      <c r="P9" s="51">
        <v>1439.07</v>
      </c>
      <c r="Q9" s="51">
        <v>0</v>
      </c>
      <c r="R9" s="51">
        <v>0</v>
      </c>
      <c r="S9" s="51">
        <v>0</v>
      </c>
      <c r="T9" s="51"/>
      <c r="U9" s="51">
        <f t="shared" si="0"/>
        <v>10559.37</v>
      </c>
      <c r="V9" s="67">
        <v>4500</v>
      </c>
      <c r="W9" s="67">
        <v>4500</v>
      </c>
      <c r="AB9" s="86"/>
      <c r="AC9" s="86"/>
      <c r="AD9" s="86"/>
      <c r="AE9" s="86"/>
      <c r="AF9" s="86" t="s">
        <v>78</v>
      </c>
      <c r="AG9" s="86"/>
      <c r="AH9" s="87"/>
      <c r="AI9" s="87"/>
      <c r="AJ9" s="87"/>
      <c r="AK9" s="87"/>
      <c r="AL9" s="87">
        <v>0</v>
      </c>
      <c r="AM9" s="87">
        <v>0</v>
      </c>
      <c r="AN9" s="87">
        <v>0</v>
      </c>
      <c r="AO9" s="87">
        <v>0</v>
      </c>
      <c r="AP9" s="87">
        <v>0</v>
      </c>
      <c r="AQ9" s="87">
        <v>0</v>
      </c>
      <c r="AR9" s="87">
        <v>3829.4</v>
      </c>
      <c r="AS9" s="87">
        <v>0</v>
      </c>
      <c r="AT9" s="87">
        <v>644.45000000000005</v>
      </c>
      <c r="AU9" s="87">
        <v>0</v>
      </c>
      <c r="AV9" s="87">
        <v>0</v>
      </c>
      <c r="AW9" s="87">
        <v>2014.63</v>
      </c>
      <c r="AX9" s="87"/>
      <c r="AY9" s="88">
        <f t="shared" si="1"/>
        <v>6488.48</v>
      </c>
      <c r="AZ9" s="88">
        <v>3500</v>
      </c>
      <c r="BA9" s="88">
        <v>4500</v>
      </c>
      <c r="BB9" s="89" t="s">
        <v>254</v>
      </c>
    </row>
    <row r="10" spans="1:54" x14ac:dyDescent="0.3">
      <c r="A10" s="50"/>
      <c r="B10" s="50"/>
      <c r="C10" s="50"/>
      <c r="D10" s="50"/>
      <c r="E10" s="50"/>
      <c r="F10" s="50" t="s">
        <v>79</v>
      </c>
      <c r="G10" s="50"/>
      <c r="H10" s="51">
        <v>0</v>
      </c>
      <c r="I10" s="51">
        <v>0</v>
      </c>
      <c r="J10" s="51">
        <v>0</v>
      </c>
      <c r="K10" s="51">
        <v>0</v>
      </c>
      <c r="L10" s="51">
        <v>0</v>
      </c>
      <c r="M10" s="51">
        <v>0</v>
      </c>
      <c r="N10" s="51">
        <v>0</v>
      </c>
      <c r="O10" s="51">
        <v>0</v>
      </c>
      <c r="P10" s="51">
        <v>0</v>
      </c>
      <c r="Q10" s="51">
        <v>0</v>
      </c>
      <c r="R10" s="51">
        <v>0</v>
      </c>
      <c r="S10" s="51">
        <v>-4890</v>
      </c>
      <c r="T10" s="51"/>
      <c r="U10" s="51">
        <f t="shared" si="0"/>
        <v>-4890</v>
      </c>
      <c r="V10" s="67">
        <v>10000</v>
      </c>
      <c r="W10" s="67">
        <v>10000</v>
      </c>
      <c r="AB10" s="86"/>
      <c r="AC10" s="86"/>
      <c r="AD10" s="86"/>
      <c r="AE10" s="86"/>
      <c r="AF10" s="86" t="s">
        <v>79</v>
      </c>
      <c r="AG10" s="86"/>
      <c r="AH10" s="87"/>
      <c r="AI10" s="87"/>
      <c r="AJ10" s="87"/>
      <c r="AK10" s="87"/>
      <c r="AL10" s="87">
        <v>0</v>
      </c>
      <c r="AM10" s="87">
        <v>0</v>
      </c>
      <c r="AN10" s="87">
        <v>0</v>
      </c>
      <c r="AO10" s="87">
        <v>4889.55</v>
      </c>
      <c r="AP10" s="87">
        <v>0</v>
      </c>
      <c r="AQ10" s="87">
        <v>0</v>
      </c>
      <c r="AR10" s="87">
        <v>0</v>
      </c>
      <c r="AS10" s="87">
        <v>0</v>
      </c>
      <c r="AT10" s="87">
        <v>0</v>
      </c>
      <c r="AU10" s="87">
        <v>0</v>
      </c>
      <c r="AV10" s="87">
        <v>0</v>
      </c>
      <c r="AW10" s="87">
        <v>-1639</v>
      </c>
      <c r="AX10" s="87"/>
      <c r="AY10" s="88">
        <f t="shared" si="1"/>
        <v>3250.55</v>
      </c>
      <c r="AZ10" s="88">
        <v>10000</v>
      </c>
      <c r="BA10" s="88">
        <v>10000</v>
      </c>
      <c r="BB10" s="89"/>
    </row>
    <row r="11" spans="1:54" x14ac:dyDescent="0.3">
      <c r="A11" s="50"/>
      <c r="B11" s="50"/>
      <c r="C11" s="50"/>
      <c r="D11" s="50"/>
      <c r="E11" s="50"/>
      <c r="F11" s="50" t="s">
        <v>80</v>
      </c>
      <c r="G11" s="50"/>
      <c r="H11" s="51">
        <v>0</v>
      </c>
      <c r="I11" s="51">
        <v>0</v>
      </c>
      <c r="J11" s="51">
        <v>0</v>
      </c>
      <c r="K11" s="51">
        <v>0</v>
      </c>
      <c r="L11" s="51">
        <v>0</v>
      </c>
      <c r="M11" s="51">
        <v>48208.65</v>
      </c>
      <c r="N11" s="51">
        <v>0</v>
      </c>
      <c r="O11" s="51">
        <v>0</v>
      </c>
      <c r="P11" s="51">
        <v>0</v>
      </c>
      <c r="Q11" s="51">
        <v>0</v>
      </c>
      <c r="R11" s="51">
        <v>49655.95</v>
      </c>
      <c r="S11" s="51">
        <v>0</v>
      </c>
      <c r="T11" s="51"/>
      <c r="U11" s="51">
        <f t="shared" si="0"/>
        <v>97864.6</v>
      </c>
      <c r="V11" s="67">
        <v>40000</v>
      </c>
      <c r="W11" s="67">
        <v>40000</v>
      </c>
      <c r="AB11" s="86"/>
      <c r="AC11" s="86"/>
      <c r="AD11" s="86"/>
      <c r="AE11" s="86"/>
      <c r="AF11" s="86" t="s">
        <v>80</v>
      </c>
      <c r="AG11" s="86"/>
      <c r="AH11" s="87"/>
      <c r="AI11" s="87"/>
      <c r="AJ11" s="87"/>
      <c r="AK11" s="87"/>
      <c r="AL11" s="87">
        <v>0</v>
      </c>
      <c r="AM11" s="87">
        <v>0</v>
      </c>
      <c r="AN11" s="87">
        <v>0</v>
      </c>
      <c r="AO11" s="87">
        <v>0</v>
      </c>
      <c r="AP11" s="87">
        <v>0</v>
      </c>
      <c r="AQ11" s="87">
        <v>0</v>
      </c>
      <c r="AR11" s="87">
        <v>43513.8</v>
      </c>
      <c r="AS11" s="87">
        <v>0</v>
      </c>
      <c r="AT11" s="87">
        <v>0</v>
      </c>
      <c r="AU11" s="87">
        <v>0</v>
      </c>
      <c r="AV11" s="87">
        <v>0</v>
      </c>
      <c r="AW11" s="87">
        <v>41834.04</v>
      </c>
      <c r="AX11" s="87"/>
      <c r="AY11" s="88">
        <f t="shared" si="1"/>
        <v>85347.839999999997</v>
      </c>
      <c r="AZ11" s="88">
        <v>40000</v>
      </c>
      <c r="BA11" s="88">
        <v>40000</v>
      </c>
      <c r="BB11" s="89"/>
    </row>
    <row r="12" spans="1:54" x14ac:dyDescent="0.3">
      <c r="A12" s="50"/>
      <c r="B12" s="50"/>
      <c r="C12" s="50"/>
      <c r="D12" s="50"/>
      <c r="E12" s="50"/>
      <c r="F12" s="50" t="s">
        <v>81</v>
      </c>
      <c r="G12" s="50"/>
      <c r="H12" s="51">
        <v>0</v>
      </c>
      <c r="I12" s="51">
        <v>0</v>
      </c>
      <c r="J12" s="51">
        <v>0</v>
      </c>
      <c r="K12" s="51">
        <v>0</v>
      </c>
      <c r="L12" s="51">
        <v>0</v>
      </c>
      <c r="M12" s="51">
        <v>934.92</v>
      </c>
      <c r="N12" s="51">
        <v>2181.48</v>
      </c>
      <c r="O12" s="51">
        <v>0</v>
      </c>
      <c r="P12" s="51">
        <v>0</v>
      </c>
      <c r="Q12" s="51">
        <v>0</v>
      </c>
      <c r="R12" s="51">
        <v>2181.67</v>
      </c>
      <c r="S12" s="51">
        <v>4023.37</v>
      </c>
      <c r="T12" s="51"/>
      <c r="U12" s="51">
        <f t="shared" si="0"/>
        <v>9321.44</v>
      </c>
      <c r="V12" s="67">
        <v>4000</v>
      </c>
      <c r="W12" s="67">
        <v>4000</v>
      </c>
      <c r="AB12" s="86"/>
      <c r="AC12" s="86"/>
      <c r="AD12" s="86"/>
      <c r="AE12" s="86"/>
      <c r="AF12" s="86" t="s">
        <v>81</v>
      </c>
      <c r="AG12" s="86"/>
      <c r="AH12" s="87"/>
      <c r="AI12" s="87"/>
      <c r="AJ12" s="87"/>
      <c r="AK12" s="87"/>
      <c r="AL12" s="87">
        <v>0</v>
      </c>
      <c r="AM12" s="87">
        <v>0</v>
      </c>
      <c r="AN12" s="87">
        <v>0</v>
      </c>
      <c r="AO12" s="87">
        <v>0</v>
      </c>
      <c r="AP12" s="87">
        <v>0</v>
      </c>
      <c r="AQ12" s="87">
        <v>0</v>
      </c>
      <c r="AR12" s="87">
        <v>0</v>
      </c>
      <c r="AS12" s="87">
        <v>0</v>
      </c>
      <c r="AT12" s="87">
        <v>0</v>
      </c>
      <c r="AU12" s="87">
        <v>0</v>
      </c>
      <c r="AV12" s="87">
        <v>2208.9</v>
      </c>
      <c r="AW12" s="87">
        <v>946.84</v>
      </c>
      <c r="AX12" s="87"/>
      <c r="AY12" s="88">
        <f t="shared" si="1"/>
        <v>3155.74</v>
      </c>
      <c r="AZ12" s="88">
        <v>7000</v>
      </c>
      <c r="BA12" s="88">
        <v>4000</v>
      </c>
      <c r="BB12" s="89"/>
    </row>
    <row r="13" spans="1:54" x14ac:dyDescent="0.3">
      <c r="A13" s="50"/>
      <c r="B13" s="50"/>
      <c r="C13" s="50"/>
      <c r="D13" s="50"/>
      <c r="E13" s="50"/>
      <c r="F13" s="50" t="s">
        <v>82</v>
      </c>
      <c r="G13" s="50"/>
      <c r="H13" s="51">
        <v>0</v>
      </c>
      <c r="I13" s="51">
        <v>-0.37</v>
      </c>
      <c r="J13" s="51">
        <v>0</v>
      </c>
      <c r="K13" s="51">
        <v>0</v>
      </c>
      <c r="L13" s="51">
        <v>0</v>
      </c>
      <c r="M13" s="51">
        <v>0</v>
      </c>
      <c r="N13" s="51">
        <v>0</v>
      </c>
      <c r="O13" s="51">
        <v>5630.34</v>
      </c>
      <c r="P13" s="51">
        <v>0</v>
      </c>
      <c r="Q13" s="51">
        <v>0</v>
      </c>
      <c r="R13" s="51">
        <v>5460.53</v>
      </c>
      <c r="S13" s="51">
        <v>0</v>
      </c>
      <c r="T13" s="51"/>
      <c r="U13" s="51">
        <f t="shared" si="0"/>
        <v>11090.5</v>
      </c>
      <c r="V13" s="67">
        <v>10500</v>
      </c>
      <c r="W13" s="67">
        <v>10500</v>
      </c>
      <c r="AB13" s="86"/>
      <c r="AC13" s="86"/>
      <c r="AD13" s="86"/>
      <c r="AE13" s="86"/>
      <c r="AF13" s="86" t="s">
        <v>82</v>
      </c>
      <c r="AG13" s="86"/>
      <c r="AH13" s="87"/>
      <c r="AI13" s="87"/>
      <c r="AJ13" s="87"/>
      <c r="AK13" s="87"/>
      <c r="AL13" s="87">
        <v>0</v>
      </c>
      <c r="AM13" s="87">
        <v>0</v>
      </c>
      <c r="AN13" s="87">
        <v>0</v>
      </c>
      <c r="AO13" s="87">
        <v>0</v>
      </c>
      <c r="AP13" s="87">
        <v>0</v>
      </c>
      <c r="AQ13" s="87">
        <v>0</v>
      </c>
      <c r="AR13" s="87">
        <v>5671.54</v>
      </c>
      <c r="AS13" s="87">
        <v>0</v>
      </c>
      <c r="AT13" s="87">
        <v>0</v>
      </c>
      <c r="AU13" s="87">
        <v>0</v>
      </c>
      <c r="AV13" s="87">
        <v>4670.6000000000004</v>
      </c>
      <c r="AW13" s="87">
        <v>143</v>
      </c>
      <c r="AX13" s="87"/>
      <c r="AY13" s="88">
        <f t="shared" si="1"/>
        <v>10485.14</v>
      </c>
      <c r="AZ13" s="88">
        <v>10000</v>
      </c>
      <c r="BA13" s="88">
        <v>10500</v>
      </c>
      <c r="BB13" s="89"/>
    </row>
    <row r="14" spans="1:54" ht="15" thickBot="1" x14ac:dyDescent="0.35">
      <c r="A14" s="50"/>
      <c r="B14" s="50"/>
      <c r="C14" s="50"/>
      <c r="D14" s="50"/>
      <c r="E14" s="50"/>
      <c r="F14" s="50" t="s">
        <v>83</v>
      </c>
      <c r="G14" s="50"/>
      <c r="H14" s="52">
        <v>0</v>
      </c>
      <c r="I14" s="52">
        <v>0</v>
      </c>
      <c r="J14" s="52">
        <v>0</v>
      </c>
      <c r="K14" s="52">
        <v>0</v>
      </c>
      <c r="L14" s="52">
        <v>0</v>
      </c>
      <c r="M14" s="52">
        <v>0</v>
      </c>
      <c r="N14" s="52">
        <v>0</v>
      </c>
      <c r="O14" s="52">
        <v>115.4</v>
      </c>
      <c r="P14" s="52">
        <v>0</v>
      </c>
      <c r="Q14" s="52">
        <v>0</v>
      </c>
      <c r="R14" s="52">
        <v>0</v>
      </c>
      <c r="S14" s="52">
        <v>-115.63</v>
      </c>
      <c r="T14" s="52"/>
      <c r="U14" s="52">
        <f t="shared" si="0"/>
        <v>-0.23</v>
      </c>
      <c r="V14" s="69">
        <v>200</v>
      </c>
      <c r="W14" s="69">
        <v>200</v>
      </c>
      <c r="AB14" s="86"/>
      <c r="AC14" s="86"/>
      <c r="AD14" s="86"/>
      <c r="AE14" s="86" t="s">
        <v>84</v>
      </c>
      <c r="AF14" s="86" t="s">
        <v>83</v>
      </c>
      <c r="AG14" s="86"/>
      <c r="AH14" s="90"/>
      <c r="AI14" s="90"/>
      <c r="AJ14" s="90"/>
      <c r="AK14" s="90"/>
      <c r="AL14" s="90">
        <v>0</v>
      </c>
      <c r="AM14" s="90">
        <v>0</v>
      </c>
      <c r="AN14" s="90">
        <v>0</v>
      </c>
      <c r="AO14" s="90">
        <v>0</v>
      </c>
      <c r="AP14" s="90">
        <v>0</v>
      </c>
      <c r="AQ14" s="90">
        <v>115.4</v>
      </c>
      <c r="AR14" s="90">
        <v>0</v>
      </c>
      <c r="AS14" s="90">
        <v>0</v>
      </c>
      <c r="AT14" s="90">
        <v>0</v>
      </c>
      <c r="AU14" s="90">
        <v>0</v>
      </c>
      <c r="AV14" s="90">
        <v>0</v>
      </c>
      <c r="AW14" s="90">
        <v>0</v>
      </c>
      <c r="AX14" s="90"/>
      <c r="AY14" s="91">
        <f t="shared" si="1"/>
        <v>115.4</v>
      </c>
      <c r="AZ14" s="91">
        <v>200</v>
      </c>
      <c r="BA14" s="91">
        <v>200</v>
      </c>
      <c r="BB14" s="92"/>
    </row>
    <row r="15" spans="1:54" x14ac:dyDescent="0.3">
      <c r="A15" s="50"/>
      <c r="B15" s="50"/>
      <c r="C15" s="50"/>
      <c r="D15" s="50"/>
      <c r="E15" s="50" t="s">
        <v>84</v>
      </c>
      <c r="F15" s="50"/>
      <c r="G15" s="50"/>
      <c r="H15" s="51">
        <f t="shared" ref="H15:P15" si="2">ROUND(SUM(H4:H14),5)</f>
        <v>0</v>
      </c>
      <c r="I15" s="51">
        <f t="shared" si="2"/>
        <v>1801.7</v>
      </c>
      <c r="J15" s="51">
        <f t="shared" si="2"/>
        <v>0</v>
      </c>
      <c r="K15" s="51">
        <f t="shared" si="2"/>
        <v>38750.339999999997</v>
      </c>
      <c r="L15" s="51">
        <f t="shared" si="2"/>
        <v>-1558.69</v>
      </c>
      <c r="M15" s="51">
        <f t="shared" si="2"/>
        <v>257102.02</v>
      </c>
      <c r="N15" s="51">
        <f t="shared" si="2"/>
        <v>170796.06</v>
      </c>
      <c r="O15" s="51">
        <f t="shared" si="2"/>
        <v>14354.16</v>
      </c>
      <c r="P15" s="51">
        <f t="shared" si="2"/>
        <v>5586.23</v>
      </c>
      <c r="Q15" s="51">
        <f>ROUND(SUM(Q4:Q14),5)</f>
        <v>69317.960000000006</v>
      </c>
      <c r="R15" s="51">
        <f>ROUND(SUM(R4:R14),5)</f>
        <v>264960.24</v>
      </c>
      <c r="S15" s="51">
        <f>ROUND(SUM(S4:S14),5)</f>
        <v>20943.740000000002</v>
      </c>
      <c r="T15" s="51"/>
      <c r="U15" s="51">
        <f t="shared" si="0"/>
        <v>842053.76</v>
      </c>
      <c r="V15" s="51">
        <f>ROUND(SUM(V4:V14),5)</f>
        <v>766800</v>
      </c>
      <c r="W15" s="51">
        <f>ROUND(SUM(W4:W14),5)</f>
        <v>800000</v>
      </c>
      <c r="X15" s="68" t="s">
        <v>304</v>
      </c>
      <c r="AB15" s="86"/>
      <c r="AC15" s="86"/>
      <c r="AD15" s="86"/>
      <c r="AE15" s="86" t="s">
        <v>85</v>
      </c>
      <c r="AF15" s="86"/>
      <c r="AG15" s="86"/>
      <c r="AH15" s="87"/>
      <c r="AI15" s="87"/>
      <c r="AJ15" s="87"/>
      <c r="AK15" s="87"/>
      <c r="AL15" s="87">
        <f t="shared" ref="AL15:AW15" si="3">ROUND(SUM(AL4:AL14),5)</f>
        <v>-4000.33</v>
      </c>
      <c r="AM15" s="87">
        <f t="shared" si="3"/>
        <v>0</v>
      </c>
      <c r="AN15" s="87">
        <f t="shared" si="3"/>
        <v>0</v>
      </c>
      <c r="AO15" s="87">
        <f t="shared" si="3"/>
        <v>30288.21</v>
      </c>
      <c r="AP15" s="87">
        <f t="shared" si="3"/>
        <v>0</v>
      </c>
      <c r="AQ15" s="87">
        <f t="shared" si="3"/>
        <v>199846.88</v>
      </c>
      <c r="AR15" s="87">
        <f t="shared" si="3"/>
        <v>212947.13</v>
      </c>
      <c r="AS15" s="87">
        <f t="shared" si="3"/>
        <v>3095.51</v>
      </c>
      <c r="AT15" s="87">
        <f t="shared" si="3"/>
        <v>2929.92</v>
      </c>
      <c r="AU15" s="87">
        <f t="shared" si="3"/>
        <v>66007.55</v>
      </c>
      <c r="AV15" s="87">
        <f t="shared" si="3"/>
        <v>200776.27</v>
      </c>
      <c r="AW15" s="87">
        <f t="shared" si="3"/>
        <v>75196.509999999995</v>
      </c>
      <c r="AX15" s="87"/>
      <c r="AY15" s="88">
        <f t="shared" si="1"/>
        <v>787087.65</v>
      </c>
      <c r="AZ15" s="88">
        <f>ROUND(SUM(AZ4:AZ14),5)</f>
        <v>720000</v>
      </c>
      <c r="BA15" s="88">
        <f>ROUND(SUM(BA4:BA14),5)</f>
        <v>766800</v>
      </c>
      <c r="BB15" s="89"/>
    </row>
    <row r="16" spans="1:54" x14ac:dyDescent="0.3">
      <c r="A16" s="50"/>
      <c r="B16" s="50"/>
      <c r="C16" s="50"/>
      <c r="D16" s="50"/>
      <c r="E16" s="50" t="s">
        <v>85</v>
      </c>
      <c r="F16" s="50"/>
      <c r="G16" s="50"/>
      <c r="H16" s="51"/>
      <c r="I16" s="51"/>
      <c r="J16" s="51"/>
      <c r="K16" s="51"/>
      <c r="L16" s="51"/>
      <c r="M16" s="51"/>
      <c r="N16" s="51"/>
      <c r="O16" s="51"/>
      <c r="P16" s="51"/>
      <c r="Q16" s="51"/>
      <c r="R16" s="51"/>
      <c r="S16" s="51"/>
      <c r="T16" s="51"/>
      <c r="U16" s="51"/>
      <c r="V16" s="51"/>
      <c r="W16" s="51"/>
      <c r="AB16" s="86"/>
      <c r="AC16" s="86"/>
      <c r="AD16" s="86"/>
      <c r="AE16" s="86"/>
      <c r="AF16" s="86"/>
      <c r="AG16" s="86"/>
      <c r="AH16" s="87"/>
      <c r="AI16" s="87"/>
      <c r="AJ16" s="87"/>
      <c r="AK16" s="87"/>
      <c r="AL16" s="87"/>
      <c r="AM16" s="87"/>
      <c r="AN16" s="87"/>
      <c r="AO16" s="87"/>
      <c r="AP16" s="87"/>
      <c r="AQ16" s="87"/>
      <c r="AR16" s="87"/>
      <c r="AS16" s="87"/>
      <c r="AT16" s="87"/>
      <c r="AU16" s="87"/>
      <c r="AV16" s="87"/>
      <c r="AW16" s="87"/>
      <c r="AX16" s="87"/>
      <c r="AY16" s="88"/>
      <c r="AZ16" s="88"/>
      <c r="BA16" s="88"/>
      <c r="BB16" s="89"/>
    </row>
    <row r="17" spans="1:54" x14ac:dyDescent="0.3">
      <c r="A17" s="50"/>
      <c r="B17" s="50"/>
      <c r="C17" s="50"/>
      <c r="D17" s="50"/>
      <c r="E17" s="50"/>
      <c r="F17" s="50" t="s">
        <v>86</v>
      </c>
      <c r="G17" s="50"/>
      <c r="H17" s="51">
        <v>518.41</v>
      </c>
      <c r="I17" s="51">
        <v>535.54999999999995</v>
      </c>
      <c r="J17" s="51">
        <v>500.23</v>
      </c>
      <c r="K17" s="51">
        <v>420.94</v>
      </c>
      <c r="L17" s="51">
        <v>405.16</v>
      </c>
      <c r="M17" s="51">
        <v>400.79</v>
      </c>
      <c r="N17" s="51">
        <v>586.54</v>
      </c>
      <c r="O17" s="51">
        <v>488.6</v>
      </c>
      <c r="P17" s="51">
        <v>447.88</v>
      </c>
      <c r="Q17" s="51">
        <v>638.1</v>
      </c>
      <c r="R17" s="51">
        <v>748.83</v>
      </c>
      <c r="S17" s="51">
        <v>432.04</v>
      </c>
      <c r="T17" s="51"/>
      <c r="U17" s="51">
        <f t="shared" ref="U17:U22" si="4">ROUND(SUM(H17:T17),5)</f>
        <v>6123.07</v>
      </c>
      <c r="V17" s="67">
        <v>10000</v>
      </c>
      <c r="W17" s="67">
        <v>5000</v>
      </c>
      <c r="X17" s="68" t="s">
        <v>292</v>
      </c>
      <c r="AB17" s="86"/>
      <c r="AC17" s="86"/>
      <c r="AD17" s="86"/>
      <c r="AE17" s="86"/>
      <c r="AF17" s="86" t="s">
        <v>86</v>
      </c>
      <c r="AG17" s="86"/>
      <c r="AH17" s="87"/>
      <c r="AI17" s="87"/>
      <c r="AJ17" s="87"/>
      <c r="AK17" s="87"/>
      <c r="AL17" s="87">
        <v>603.74</v>
      </c>
      <c r="AM17" s="87">
        <v>636.47</v>
      </c>
      <c r="AN17" s="87">
        <v>550.29999999999995</v>
      </c>
      <c r="AO17" s="87">
        <v>512.91999999999996</v>
      </c>
      <c r="AP17" s="87">
        <v>505.03</v>
      </c>
      <c r="AQ17" s="87">
        <v>452.33</v>
      </c>
      <c r="AR17" s="87">
        <v>7314.37</v>
      </c>
      <c r="AS17" s="87">
        <v>420.5</v>
      </c>
      <c r="AT17" s="87">
        <v>378.15</v>
      </c>
      <c r="AU17" s="87">
        <v>381.98</v>
      </c>
      <c r="AV17" s="87">
        <v>954.87</v>
      </c>
      <c r="AW17" s="87">
        <v>652.66</v>
      </c>
      <c r="AX17" s="87"/>
      <c r="AY17" s="88">
        <f t="shared" ref="AY17:AY22" si="5">ROUND(SUM(AH17:AX17),5)</f>
        <v>13363.32</v>
      </c>
      <c r="AZ17" s="88">
        <v>4000</v>
      </c>
      <c r="BA17" s="88">
        <v>10000</v>
      </c>
      <c r="BB17" s="89" t="s">
        <v>247</v>
      </c>
    </row>
    <row r="18" spans="1:54" x14ac:dyDescent="0.3">
      <c r="A18" s="50"/>
      <c r="B18" s="50"/>
      <c r="C18" s="50"/>
      <c r="D18" s="50"/>
      <c r="E18" s="50"/>
      <c r="F18" s="50" t="s">
        <v>87</v>
      </c>
      <c r="G18" s="50"/>
      <c r="H18" s="51">
        <v>16526.73</v>
      </c>
      <c r="I18" s="51">
        <v>5579.79</v>
      </c>
      <c r="J18" s="51">
        <v>5481.74</v>
      </c>
      <c r="K18" s="51">
        <v>5047.42</v>
      </c>
      <c r="L18" s="51">
        <v>6660.43</v>
      </c>
      <c r="M18" s="51">
        <v>5928.96</v>
      </c>
      <c r="N18" s="51">
        <v>5063.93</v>
      </c>
      <c r="O18" s="51">
        <v>6238.12</v>
      </c>
      <c r="P18" s="51">
        <v>8630.35</v>
      </c>
      <c r="Q18" s="51">
        <v>3905.15</v>
      </c>
      <c r="R18" s="51">
        <v>7105.54</v>
      </c>
      <c r="S18" s="51">
        <v>0</v>
      </c>
      <c r="T18" s="51"/>
      <c r="U18" s="51">
        <f t="shared" si="4"/>
        <v>76168.160000000003</v>
      </c>
      <c r="V18" s="67">
        <v>50000</v>
      </c>
      <c r="W18" s="67">
        <f>70000-1100</f>
        <v>68900</v>
      </c>
      <c r="X18" s="68" t="s">
        <v>293</v>
      </c>
      <c r="AB18" s="86"/>
      <c r="AC18" s="86"/>
      <c r="AD18" s="86"/>
      <c r="AE18" s="86"/>
      <c r="AF18" s="86" t="s">
        <v>87</v>
      </c>
      <c r="AG18" s="86"/>
      <c r="AH18" s="87"/>
      <c r="AI18" s="87"/>
      <c r="AJ18" s="87"/>
      <c r="AK18" s="87"/>
      <c r="AL18" s="87">
        <v>4709.55</v>
      </c>
      <c r="AM18" s="87">
        <v>9565.7900000000009</v>
      </c>
      <c r="AN18" s="87">
        <v>-941.62</v>
      </c>
      <c r="AO18" s="87">
        <v>8144.95</v>
      </c>
      <c r="AP18" s="87">
        <v>6079.05</v>
      </c>
      <c r="AQ18" s="87">
        <v>4930.87</v>
      </c>
      <c r="AR18" s="87">
        <v>4937.05</v>
      </c>
      <c r="AS18" s="87">
        <v>4807.21</v>
      </c>
      <c r="AT18" s="87">
        <v>4995.72</v>
      </c>
      <c r="AU18" s="87">
        <v>6212.36</v>
      </c>
      <c r="AV18" s="87">
        <v>5047.13</v>
      </c>
      <c r="AW18" s="87">
        <v>5522.27</v>
      </c>
      <c r="AX18" s="87"/>
      <c r="AY18" s="88">
        <f t="shared" si="5"/>
        <v>64010.33</v>
      </c>
      <c r="AZ18" s="88">
        <v>40000</v>
      </c>
      <c r="BA18" s="88">
        <v>50000</v>
      </c>
      <c r="BB18" s="89"/>
    </row>
    <row r="19" spans="1:54" x14ac:dyDescent="0.3">
      <c r="A19" s="50"/>
      <c r="B19" s="50"/>
      <c r="C19" s="50"/>
      <c r="D19" s="50"/>
      <c r="E19" s="50"/>
      <c r="F19" s="50" t="s">
        <v>88</v>
      </c>
      <c r="G19" s="50"/>
      <c r="H19" s="51">
        <v>0</v>
      </c>
      <c r="I19" s="51">
        <v>0</v>
      </c>
      <c r="J19" s="51">
        <v>526.76</v>
      </c>
      <c r="K19" s="51">
        <v>95.47</v>
      </c>
      <c r="L19" s="51">
        <v>0</v>
      </c>
      <c r="M19" s="51">
        <v>432.49</v>
      </c>
      <c r="N19" s="51">
        <v>60.53</v>
      </c>
      <c r="O19" s="51">
        <v>0</v>
      </c>
      <c r="P19" s="51">
        <v>579.15</v>
      </c>
      <c r="Q19" s="51">
        <v>26.9</v>
      </c>
      <c r="R19" s="51">
        <v>0</v>
      </c>
      <c r="S19" s="51">
        <v>0</v>
      </c>
      <c r="T19" s="51"/>
      <c r="U19" s="51">
        <f t="shared" si="4"/>
        <v>1721.3</v>
      </c>
      <c r="V19" s="67">
        <v>10000</v>
      </c>
      <c r="W19" s="67">
        <v>5000</v>
      </c>
      <c r="AB19" s="86"/>
      <c r="AC19" s="86"/>
      <c r="AD19" s="86"/>
      <c r="AE19" s="86"/>
      <c r="AF19" s="86" t="s">
        <v>88</v>
      </c>
      <c r="AG19" s="86"/>
      <c r="AH19" s="87"/>
      <c r="AI19" s="87"/>
      <c r="AJ19" s="87"/>
      <c r="AK19" s="87"/>
      <c r="AL19" s="87">
        <v>0</v>
      </c>
      <c r="AM19" s="87">
        <v>0</v>
      </c>
      <c r="AN19" s="87">
        <v>2382.91</v>
      </c>
      <c r="AO19" s="87">
        <v>164.98</v>
      </c>
      <c r="AP19" s="87">
        <v>0</v>
      </c>
      <c r="AQ19" s="87">
        <v>1779.4</v>
      </c>
      <c r="AR19" s="87">
        <v>208.6</v>
      </c>
      <c r="AS19" s="87">
        <v>0</v>
      </c>
      <c r="AT19" s="87">
        <v>1194.3699999999999</v>
      </c>
      <c r="AU19" s="87">
        <v>83.37</v>
      </c>
      <c r="AV19" s="87">
        <v>0</v>
      </c>
      <c r="AW19" s="87">
        <v>5126.62</v>
      </c>
      <c r="AX19" s="87"/>
      <c r="AY19" s="88">
        <f t="shared" si="5"/>
        <v>10940.25</v>
      </c>
      <c r="AZ19" s="88">
        <v>13000</v>
      </c>
      <c r="BA19" s="88">
        <v>10000</v>
      </c>
      <c r="BB19" s="89" t="s">
        <v>247</v>
      </c>
    </row>
    <row r="20" spans="1:54" x14ac:dyDescent="0.3">
      <c r="A20" s="50"/>
      <c r="B20" s="50"/>
      <c r="C20" s="50"/>
      <c r="D20" s="50"/>
      <c r="E20" s="50"/>
      <c r="F20" s="50" t="s">
        <v>89</v>
      </c>
      <c r="G20" s="50"/>
      <c r="H20" s="51">
        <v>0</v>
      </c>
      <c r="I20" s="51">
        <v>0</v>
      </c>
      <c r="J20" s="51">
        <v>28.45</v>
      </c>
      <c r="K20" s="51">
        <v>5.08</v>
      </c>
      <c r="L20" s="51">
        <v>0</v>
      </c>
      <c r="M20" s="51">
        <v>23.02</v>
      </c>
      <c r="N20" s="51">
        <v>5.04</v>
      </c>
      <c r="O20" s="51">
        <v>0</v>
      </c>
      <c r="P20" s="51">
        <v>48.23</v>
      </c>
      <c r="Q20" s="51">
        <v>2.2000000000000002</v>
      </c>
      <c r="R20" s="51">
        <v>0</v>
      </c>
      <c r="S20" s="51">
        <v>0</v>
      </c>
      <c r="T20" s="51"/>
      <c r="U20" s="51">
        <f t="shared" si="4"/>
        <v>112.02</v>
      </c>
      <c r="V20" s="67">
        <v>1000</v>
      </c>
      <c r="W20" s="67">
        <v>100</v>
      </c>
      <c r="AB20" s="86"/>
      <c r="AC20" s="86"/>
      <c r="AD20" s="86"/>
      <c r="AE20" s="86"/>
      <c r="AF20" s="86" t="s">
        <v>89</v>
      </c>
      <c r="AG20" s="86"/>
      <c r="AH20" s="87"/>
      <c r="AI20" s="87"/>
      <c r="AJ20" s="87"/>
      <c r="AK20" s="87"/>
      <c r="AL20" s="87">
        <v>-854</v>
      </c>
      <c r="AM20" s="87">
        <v>0</v>
      </c>
      <c r="AN20" s="87">
        <v>541.74</v>
      </c>
      <c r="AO20" s="87">
        <v>38.130000000000003</v>
      </c>
      <c r="AP20" s="87">
        <v>0</v>
      </c>
      <c r="AQ20" s="87">
        <v>411.31</v>
      </c>
      <c r="AR20" s="87">
        <v>53.48</v>
      </c>
      <c r="AS20" s="87">
        <v>0</v>
      </c>
      <c r="AT20" s="87">
        <v>306.22000000000003</v>
      </c>
      <c r="AU20" s="87">
        <v>19.61</v>
      </c>
      <c r="AV20" s="87">
        <v>0</v>
      </c>
      <c r="AW20" s="87">
        <v>816.59</v>
      </c>
      <c r="AX20" s="87"/>
      <c r="AY20" s="88">
        <f t="shared" si="5"/>
        <v>1333.08</v>
      </c>
      <c r="AZ20" s="88">
        <v>3000</v>
      </c>
      <c r="BA20" s="88">
        <v>1000</v>
      </c>
      <c r="BB20" s="89" t="s">
        <v>247</v>
      </c>
    </row>
    <row r="21" spans="1:54" ht="15" thickBot="1" x14ac:dyDescent="0.35">
      <c r="A21" s="50"/>
      <c r="B21" s="50"/>
      <c r="C21" s="50"/>
      <c r="D21" s="50"/>
      <c r="E21" s="50"/>
      <c r="F21" s="50" t="s">
        <v>90</v>
      </c>
      <c r="G21" s="50"/>
      <c r="H21" s="52">
        <v>0</v>
      </c>
      <c r="I21" s="52">
        <v>0</v>
      </c>
      <c r="J21" s="52">
        <v>1831.67</v>
      </c>
      <c r="K21" s="52">
        <v>323.87</v>
      </c>
      <c r="L21" s="52">
        <v>0</v>
      </c>
      <c r="M21" s="52">
        <v>1467.17</v>
      </c>
      <c r="N21" s="52">
        <v>200.19</v>
      </c>
      <c r="O21" s="52">
        <v>0</v>
      </c>
      <c r="P21" s="52">
        <v>0</v>
      </c>
      <c r="Q21" s="52">
        <v>65.45</v>
      </c>
      <c r="R21" s="52">
        <v>0</v>
      </c>
      <c r="S21" s="52">
        <v>2276.58</v>
      </c>
      <c r="T21" s="52"/>
      <c r="U21" s="52">
        <f t="shared" si="4"/>
        <v>6164.93</v>
      </c>
      <c r="V21" s="69">
        <v>20000</v>
      </c>
      <c r="W21" s="69">
        <v>10000</v>
      </c>
      <c r="X21" s="68" t="s">
        <v>291</v>
      </c>
      <c r="AB21" s="86"/>
      <c r="AC21" s="86"/>
      <c r="AD21" s="86"/>
      <c r="AE21" s="86" t="s">
        <v>91</v>
      </c>
      <c r="AF21" s="86" t="s">
        <v>90</v>
      </c>
      <c r="AG21" s="86"/>
      <c r="AH21" s="90"/>
      <c r="AI21" s="90"/>
      <c r="AJ21" s="90"/>
      <c r="AK21" s="90"/>
      <c r="AL21" s="90">
        <v>-126</v>
      </c>
      <c r="AM21" s="90">
        <v>0</v>
      </c>
      <c r="AN21" s="90">
        <v>3663.49</v>
      </c>
      <c r="AO21" s="90">
        <v>240.94</v>
      </c>
      <c r="AP21" s="90">
        <v>0</v>
      </c>
      <c r="AQ21" s="90">
        <v>2598.63</v>
      </c>
      <c r="AR21" s="90">
        <v>304.14999999999998</v>
      </c>
      <c r="AS21" s="90">
        <v>0</v>
      </c>
      <c r="AT21" s="90">
        <v>1741.43</v>
      </c>
      <c r="AU21" s="90">
        <v>99.78</v>
      </c>
      <c r="AV21" s="90">
        <v>0</v>
      </c>
      <c r="AW21" s="90">
        <v>6128.28</v>
      </c>
      <c r="AX21" s="90"/>
      <c r="AY21" s="91">
        <f t="shared" si="5"/>
        <v>14650.7</v>
      </c>
      <c r="AZ21" s="91">
        <v>30000</v>
      </c>
      <c r="BA21" s="91">
        <v>20000</v>
      </c>
      <c r="BB21" s="92" t="s">
        <v>247</v>
      </c>
    </row>
    <row r="22" spans="1:54" x14ac:dyDescent="0.3">
      <c r="A22" s="50"/>
      <c r="B22" s="50"/>
      <c r="C22" s="50"/>
      <c r="D22" s="50"/>
      <c r="E22" s="50" t="s">
        <v>91</v>
      </c>
      <c r="F22" s="50"/>
      <c r="G22" s="50"/>
      <c r="H22" s="51">
        <f t="shared" ref="H22:P22" si="6">ROUND(SUM(H16:H21),5)</f>
        <v>17045.14</v>
      </c>
      <c r="I22" s="51">
        <f t="shared" si="6"/>
        <v>6115.34</v>
      </c>
      <c r="J22" s="51">
        <f t="shared" si="6"/>
        <v>8368.85</v>
      </c>
      <c r="K22" s="51">
        <f t="shared" si="6"/>
        <v>5892.78</v>
      </c>
      <c r="L22" s="51">
        <f t="shared" si="6"/>
        <v>7065.59</v>
      </c>
      <c r="M22" s="51">
        <f t="shared" si="6"/>
        <v>8252.43</v>
      </c>
      <c r="N22" s="51">
        <f t="shared" si="6"/>
        <v>5916.23</v>
      </c>
      <c r="O22" s="51">
        <f t="shared" si="6"/>
        <v>6726.72</v>
      </c>
      <c r="P22" s="51">
        <f t="shared" si="6"/>
        <v>9705.61</v>
      </c>
      <c r="Q22" s="51">
        <f>ROUND(SUM(Q16:Q21),5)</f>
        <v>4637.8</v>
      </c>
      <c r="R22" s="51">
        <f>ROUND(SUM(R16:R21),5)</f>
        <v>7854.37</v>
      </c>
      <c r="S22" s="51">
        <f>ROUND(SUM(S16:S21),5)</f>
        <v>2708.62</v>
      </c>
      <c r="T22" s="51"/>
      <c r="U22" s="51">
        <f t="shared" si="4"/>
        <v>90289.48</v>
      </c>
      <c r="V22" s="51">
        <f>ROUND(SUM(V16:V21),5)</f>
        <v>91000</v>
      </c>
      <c r="W22" s="51">
        <f>ROUND(SUM(W16:W21),5)</f>
        <v>89000</v>
      </c>
      <c r="AB22" s="86"/>
      <c r="AC22" s="86"/>
      <c r="AD22" s="86"/>
      <c r="AE22" s="86" t="s">
        <v>92</v>
      </c>
      <c r="AF22" s="86"/>
      <c r="AG22" s="86"/>
      <c r="AH22" s="87"/>
      <c r="AI22" s="87"/>
      <c r="AJ22" s="87"/>
      <c r="AK22" s="87"/>
      <c r="AL22" s="87">
        <f t="shared" ref="AL22:AW22" si="7">ROUND(SUM(AL16:AL21),5)</f>
        <v>4333.29</v>
      </c>
      <c r="AM22" s="87">
        <f t="shared" si="7"/>
        <v>10202.26</v>
      </c>
      <c r="AN22" s="87">
        <f t="shared" si="7"/>
        <v>6196.82</v>
      </c>
      <c r="AO22" s="87">
        <f t="shared" si="7"/>
        <v>9101.92</v>
      </c>
      <c r="AP22" s="87">
        <f t="shared" si="7"/>
        <v>6584.08</v>
      </c>
      <c r="AQ22" s="87">
        <f t="shared" si="7"/>
        <v>10172.540000000001</v>
      </c>
      <c r="AR22" s="87">
        <f t="shared" si="7"/>
        <v>12817.65</v>
      </c>
      <c r="AS22" s="87">
        <f t="shared" si="7"/>
        <v>5227.71</v>
      </c>
      <c r="AT22" s="87">
        <f t="shared" si="7"/>
        <v>8615.89</v>
      </c>
      <c r="AU22" s="87">
        <f t="shared" si="7"/>
        <v>6797.1</v>
      </c>
      <c r="AV22" s="87">
        <f t="shared" si="7"/>
        <v>6002</v>
      </c>
      <c r="AW22" s="87">
        <f t="shared" si="7"/>
        <v>18246.419999999998</v>
      </c>
      <c r="AX22" s="87"/>
      <c r="AY22" s="88">
        <f t="shared" si="5"/>
        <v>104297.68</v>
      </c>
      <c r="AZ22" s="88">
        <f>ROUND(SUM(AZ16:AZ21),5)</f>
        <v>90000</v>
      </c>
      <c r="BA22" s="88">
        <f>ROUND(SUM(BA16:BA21),5)</f>
        <v>91000</v>
      </c>
      <c r="BB22" s="89"/>
    </row>
    <row r="23" spans="1:54" x14ac:dyDescent="0.3">
      <c r="A23" s="50"/>
      <c r="B23" s="50"/>
      <c r="C23" s="50"/>
      <c r="D23" s="50"/>
      <c r="E23" s="50" t="s">
        <v>92</v>
      </c>
      <c r="F23" s="50"/>
      <c r="G23" s="50"/>
      <c r="H23" s="51"/>
      <c r="I23" s="51"/>
      <c r="J23" s="51"/>
      <c r="K23" s="51"/>
      <c r="L23" s="51"/>
      <c r="M23" s="51"/>
      <c r="N23" s="51"/>
      <c r="O23" s="51"/>
      <c r="P23" s="51"/>
      <c r="Q23" s="51"/>
      <c r="R23" s="51"/>
      <c r="S23" s="51"/>
      <c r="T23" s="51"/>
      <c r="U23" s="51"/>
      <c r="V23" s="51"/>
      <c r="W23" s="51"/>
      <c r="AB23" s="86"/>
      <c r="AC23" s="86"/>
      <c r="AD23" s="86"/>
      <c r="AE23" s="86"/>
      <c r="AF23" s="86"/>
      <c r="AG23" s="86"/>
      <c r="AH23" s="87"/>
      <c r="AI23" s="87"/>
      <c r="AJ23" s="87"/>
      <c r="AK23" s="87"/>
      <c r="AL23" s="87"/>
      <c r="AM23" s="87"/>
      <c r="AN23" s="87"/>
      <c r="AO23" s="87"/>
      <c r="AP23" s="87"/>
      <c r="AQ23" s="87"/>
      <c r="AR23" s="87"/>
      <c r="AS23" s="87"/>
      <c r="AT23" s="87"/>
      <c r="AU23" s="87"/>
      <c r="AV23" s="87"/>
      <c r="AW23" s="87"/>
      <c r="AX23" s="87"/>
      <c r="AY23" s="88"/>
      <c r="AZ23" s="88"/>
      <c r="BA23" s="88"/>
      <c r="BB23" s="89"/>
    </row>
    <row r="24" spans="1:54" x14ac:dyDescent="0.3">
      <c r="A24" s="50"/>
      <c r="B24" s="50"/>
      <c r="C24" s="50"/>
      <c r="D24" s="50"/>
      <c r="E24" s="50"/>
      <c r="F24" s="50" t="s">
        <v>93</v>
      </c>
      <c r="G24" s="50"/>
      <c r="H24" s="51">
        <v>13100</v>
      </c>
      <c r="I24" s="51">
        <v>5230</v>
      </c>
      <c r="J24" s="51">
        <v>30592</v>
      </c>
      <c r="K24" s="51">
        <v>22305</v>
      </c>
      <c r="L24" s="51">
        <v>6000</v>
      </c>
      <c r="M24" s="51">
        <v>8400</v>
      </c>
      <c r="N24" s="51">
        <v>14960</v>
      </c>
      <c r="O24" s="51">
        <v>23490</v>
      </c>
      <c r="P24" s="51">
        <v>22920</v>
      </c>
      <c r="Q24" s="51">
        <v>9150</v>
      </c>
      <c r="R24" s="51">
        <v>850</v>
      </c>
      <c r="S24" s="51">
        <f>12370.66-7000</f>
        <v>5370.66</v>
      </c>
      <c r="T24" s="51"/>
      <c r="U24" s="51">
        <f t="shared" ref="U24:U35" si="8">ROUND(SUM(H24:T24),5)</f>
        <v>162367.66</v>
      </c>
      <c r="V24" s="67">
        <v>165000</v>
      </c>
      <c r="W24" s="67">
        <f>165000-20000</f>
        <v>145000</v>
      </c>
      <c r="AB24" s="86"/>
      <c r="AC24" s="86"/>
      <c r="AD24" s="86"/>
      <c r="AE24" s="86"/>
      <c r="AF24" s="86" t="s">
        <v>93</v>
      </c>
      <c r="AG24" s="86"/>
      <c r="AH24" s="87"/>
      <c r="AI24" s="87"/>
      <c r="AJ24" s="87"/>
      <c r="AK24" s="87"/>
      <c r="AL24" s="87">
        <v>8225</v>
      </c>
      <c r="AM24" s="87">
        <v>10866.67</v>
      </c>
      <c r="AN24" s="87">
        <v>9500</v>
      </c>
      <c r="AO24" s="87">
        <v>25066.67</v>
      </c>
      <c r="AP24" s="87">
        <v>7800</v>
      </c>
      <c r="AQ24" s="87">
        <v>20950</v>
      </c>
      <c r="AR24" s="87">
        <v>19000</v>
      </c>
      <c r="AS24" s="87">
        <v>24450</v>
      </c>
      <c r="AT24" s="87">
        <v>22500</v>
      </c>
      <c r="AU24" s="87">
        <v>12325</v>
      </c>
      <c r="AV24" s="87">
        <v>5000</v>
      </c>
      <c r="AW24" s="87">
        <v>10643</v>
      </c>
      <c r="AX24" s="87"/>
      <c r="AY24" s="88">
        <f t="shared" ref="AY24:AY35" si="9">ROUND(SUM(AH24:AX24),5)</f>
        <v>176326.34</v>
      </c>
      <c r="AZ24" s="88">
        <v>120000</v>
      </c>
      <c r="BA24" s="88">
        <v>165000</v>
      </c>
      <c r="BB24" s="89" t="s">
        <v>247</v>
      </c>
    </row>
    <row r="25" spans="1:54" x14ac:dyDescent="0.3">
      <c r="A25" s="50"/>
      <c r="B25" s="50"/>
      <c r="C25" s="50"/>
      <c r="D25" s="50"/>
      <c r="E25" s="50"/>
      <c r="F25" s="50" t="s">
        <v>94</v>
      </c>
      <c r="G25" s="50"/>
      <c r="H25" s="51">
        <v>3300</v>
      </c>
      <c r="I25" s="51">
        <v>500</v>
      </c>
      <c r="J25" s="51">
        <v>3000</v>
      </c>
      <c r="K25" s="51">
        <v>1250</v>
      </c>
      <c r="L25" s="51">
        <v>1250</v>
      </c>
      <c r="M25" s="51">
        <v>1500</v>
      </c>
      <c r="N25" s="51">
        <v>1700</v>
      </c>
      <c r="O25" s="51">
        <v>1750</v>
      </c>
      <c r="P25" s="51">
        <v>1860</v>
      </c>
      <c r="Q25" s="51">
        <v>1800</v>
      </c>
      <c r="R25" s="51">
        <v>250</v>
      </c>
      <c r="S25" s="51">
        <v>1650</v>
      </c>
      <c r="T25" s="51"/>
      <c r="U25" s="51">
        <f t="shared" si="8"/>
        <v>19810</v>
      </c>
      <c r="V25" s="67">
        <v>18000</v>
      </c>
      <c r="W25" s="67">
        <v>18000</v>
      </c>
      <c r="AB25" s="86"/>
      <c r="AC25" s="86"/>
      <c r="AD25" s="86"/>
      <c r="AE25" s="86"/>
      <c r="AF25" s="86" t="s">
        <v>94</v>
      </c>
      <c r="AG25" s="86"/>
      <c r="AH25" s="87"/>
      <c r="AI25" s="87"/>
      <c r="AJ25" s="87"/>
      <c r="AK25" s="87"/>
      <c r="AL25" s="87">
        <v>1200</v>
      </c>
      <c r="AM25" s="87">
        <v>1410</v>
      </c>
      <c r="AN25" s="87">
        <v>1250</v>
      </c>
      <c r="AO25" s="87">
        <v>2500</v>
      </c>
      <c r="AP25" s="87">
        <v>500</v>
      </c>
      <c r="AQ25" s="87">
        <v>2000</v>
      </c>
      <c r="AR25" s="87">
        <v>1250</v>
      </c>
      <c r="AS25" s="87">
        <v>1910</v>
      </c>
      <c r="AT25" s="87">
        <v>2500</v>
      </c>
      <c r="AU25" s="87">
        <v>1450</v>
      </c>
      <c r="AV25" s="87">
        <v>1250</v>
      </c>
      <c r="AW25" s="87">
        <v>750</v>
      </c>
      <c r="AX25" s="87"/>
      <c r="AY25" s="88">
        <f t="shared" si="9"/>
        <v>17970</v>
      </c>
      <c r="AZ25" s="88">
        <v>12000</v>
      </c>
      <c r="BA25" s="88">
        <v>18000</v>
      </c>
      <c r="BB25" s="89"/>
    </row>
    <row r="26" spans="1:54" x14ac:dyDescent="0.3">
      <c r="A26" s="50"/>
      <c r="B26" s="50"/>
      <c r="C26" s="50"/>
      <c r="D26" s="50"/>
      <c r="E26" s="50"/>
      <c r="F26" s="50" t="s">
        <v>230</v>
      </c>
      <c r="G26" s="50"/>
      <c r="H26" s="51">
        <v>0</v>
      </c>
      <c r="I26" s="51">
        <v>230</v>
      </c>
      <c r="J26" s="51">
        <v>892</v>
      </c>
      <c r="K26" s="51">
        <v>690</v>
      </c>
      <c r="L26" s="51">
        <v>0</v>
      </c>
      <c r="M26" s="51">
        <v>460</v>
      </c>
      <c r="N26" s="51">
        <v>460</v>
      </c>
      <c r="O26" s="51">
        <v>690</v>
      </c>
      <c r="P26" s="51">
        <v>920</v>
      </c>
      <c r="Q26" s="51">
        <v>230</v>
      </c>
      <c r="R26" s="51">
        <v>0</v>
      </c>
      <c r="S26" s="51">
        <v>455</v>
      </c>
      <c r="T26" s="51"/>
      <c r="U26" s="51">
        <f t="shared" si="8"/>
        <v>5027</v>
      </c>
      <c r="V26" s="67">
        <v>3000</v>
      </c>
      <c r="W26" s="67">
        <v>3000</v>
      </c>
      <c r="AB26" s="86"/>
      <c r="AC26" s="86"/>
      <c r="AD26" s="86"/>
      <c r="AE26" s="86"/>
      <c r="AF26" s="86" t="s">
        <v>230</v>
      </c>
      <c r="AG26" s="86"/>
      <c r="AH26" s="87"/>
      <c r="AI26" s="87"/>
      <c r="AJ26" s="87"/>
      <c r="AK26" s="87"/>
      <c r="AL26" s="87">
        <v>0</v>
      </c>
      <c r="AM26" s="87">
        <v>0</v>
      </c>
      <c r="AN26" s="87">
        <v>0</v>
      </c>
      <c r="AO26" s="87">
        <v>0</v>
      </c>
      <c r="AP26" s="87">
        <v>0</v>
      </c>
      <c r="AQ26" s="87">
        <v>450</v>
      </c>
      <c r="AR26" s="87">
        <v>0</v>
      </c>
      <c r="AS26" s="87">
        <v>450</v>
      </c>
      <c r="AT26" s="87">
        <v>0</v>
      </c>
      <c r="AU26" s="87">
        <v>225</v>
      </c>
      <c r="AV26" s="87">
        <v>0</v>
      </c>
      <c r="AW26" s="87">
        <v>0</v>
      </c>
      <c r="AX26" s="87"/>
      <c r="AY26" s="88">
        <f t="shared" si="9"/>
        <v>1125</v>
      </c>
      <c r="AZ26" s="88">
        <v>0</v>
      </c>
      <c r="BA26" s="88">
        <v>3000</v>
      </c>
      <c r="BB26" s="89"/>
    </row>
    <row r="27" spans="1:54" x14ac:dyDescent="0.3">
      <c r="A27" s="50"/>
      <c r="B27" s="50"/>
      <c r="C27" s="50"/>
      <c r="D27" s="50"/>
      <c r="E27" s="50"/>
      <c r="F27" s="50" t="s">
        <v>95</v>
      </c>
      <c r="G27" s="50"/>
      <c r="H27" s="51">
        <v>3750</v>
      </c>
      <c r="I27" s="51">
        <v>1950</v>
      </c>
      <c r="J27" s="51">
        <v>8750</v>
      </c>
      <c r="K27" s="51">
        <v>4300</v>
      </c>
      <c r="L27" s="51">
        <v>1800</v>
      </c>
      <c r="M27" s="51">
        <v>4700</v>
      </c>
      <c r="N27" s="51">
        <v>5300</v>
      </c>
      <c r="O27" s="51">
        <v>3600</v>
      </c>
      <c r="P27" s="51">
        <v>7600</v>
      </c>
      <c r="Q27" s="51">
        <v>6250</v>
      </c>
      <c r="R27" s="51">
        <v>1000</v>
      </c>
      <c r="S27" s="51">
        <f>6100-4000</f>
        <v>2100</v>
      </c>
      <c r="T27" s="51"/>
      <c r="U27" s="51">
        <f t="shared" si="8"/>
        <v>51100</v>
      </c>
      <c r="V27" s="67">
        <v>47000</v>
      </c>
      <c r="W27" s="67">
        <f>47000-10000</f>
        <v>37000</v>
      </c>
      <c r="AB27" s="86"/>
      <c r="AC27" s="86"/>
      <c r="AD27" s="86"/>
      <c r="AE27" s="86"/>
      <c r="AF27" s="86" t="s">
        <v>95</v>
      </c>
      <c r="AG27" s="86"/>
      <c r="AH27" s="87"/>
      <c r="AI27" s="87"/>
      <c r="AJ27" s="87"/>
      <c r="AK27" s="87"/>
      <c r="AL27" s="87">
        <v>3650</v>
      </c>
      <c r="AM27" s="87">
        <v>3250</v>
      </c>
      <c r="AN27" s="87">
        <v>2800</v>
      </c>
      <c r="AO27" s="87">
        <v>6100</v>
      </c>
      <c r="AP27" s="87">
        <v>100</v>
      </c>
      <c r="AQ27" s="87">
        <v>4900</v>
      </c>
      <c r="AR27" s="87">
        <v>3500</v>
      </c>
      <c r="AS27" s="87">
        <v>7650</v>
      </c>
      <c r="AT27" s="87">
        <v>8000</v>
      </c>
      <c r="AU27" s="87">
        <v>3700</v>
      </c>
      <c r="AV27" s="87">
        <v>5150</v>
      </c>
      <c r="AW27" s="87">
        <v>2550</v>
      </c>
      <c r="AX27" s="87"/>
      <c r="AY27" s="88">
        <f t="shared" si="9"/>
        <v>51350</v>
      </c>
      <c r="AZ27" s="88">
        <v>30000</v>
      </c>
      <c r="BA27" s="88">
        <v>47000</v>
      </c>
      <c r="BB27" s="89"/>
    </row>
    <row r="28" spans="1:54" x14ac:dyDescent="0.3">
      <c r="A28" s="50"/>
      <c r="B28" s="50"/>
      <c r="C28" s="50"/>
      <c r="D28" s="50"/>
      <c r="E28" s="50"/>
      <c r="F28" s="50" t="s">
        <v>96</v>
      </c>
      <c r="G28" s="50"/>
      <c r="H28" s="51">
        <v>20500</v>
      </c>
      <c r="I28" s="51">
        <v>3770</v>
      </c>
      <c r="J28" s="51">
        <v>21408</v>
      </c>
      <c r="K28" s="51">
        <v>-505</v>
      </c>
      <c r="L28" s="51">
        <v>10500</v>
      </c>
      <c r="M28" s="51">
        <v>6000</v>
      </c>
      <c r="N28" s="51">
        <v>10690</v>
      </c>
      <c r="O28" s="51">
        <v>-990</v>
      </c>
      <c r="P28" s="51">
        <v>13230</v>
      </c>
      <c r="Q28" s="51">
        <v>4000</v>
      </c>
      <c r="R28" s="51">
        <v>800</v>
      </c>
      <c r="S28" s="51">
        <f>9282-3737.66</f>
        <v>5544.34</v>
      </c>
      <c r="T28" s="51"/>
      <c r="U28" s="51">
        <f t="shared" si="8"/>
        <v>94947.34</v>
      </c>
      <c r="V28" s="67">
        <v>70000</v>
      </c>
      <c r="W28" s="67">
        <f>70000-13200</f>
        <v>56800</v>
      </c>
      <c r="AB28" s="86"/>
      <c r="AC28" s="86"/>
      <c r="AD28" s="86"/>
      <c r="AE28" s="86"/>
      <c r="AF28" s="86" t="s">
        <v>96</v>
      </c>
      <c r="AG28" s="86"/>
      <c r="AH28" s="87"/>
      <c r="AI28" s="87"/>
      <c r="AJ28" s="87"/>
      <c r="AK28" s="87"/>
      <c r="AL28" s="87">
        <v>2500</v>
      </c>
      <c r="AM28" s="87">
        <v>6083.33</v>
      </c>
      <c r="AN28" s="87">
        <v>16450</v>
      </c>
      <c r="AO28" s="87">
        <v>17583.330000000002</v>
      </c>
      <c r="AP28" s="87">
        <v>0</v>
      </c>
      <c r="AQ28" s="87">
        <v>3050</v>
      </c>
      <c r="AR28" s="87">
        <v>4000</v>
      </c>
      <c r="AS28" s="87">
        <v>9050</v>
      </c>
      <c r="AT28" s="87">
        <v>16650</v>
      </c>
      <c r="AU28" s="87">
        <v>2675</v>
      </c>
      <c r="AV28" s="87">
        <v>1725</v>
      </c>
      <c r="AW28" s="87">
        <v>5357</v>
      </c>
      <c r="AX28" s="87"/>
      <c r="AY28" s="88">
        <f t="shared" si="9"/>
        <v>85123.66</v>
      </c>
      <c r="AZ28" s="88">
        <v>67000</v>
      </c>
      <c r="BA28" s="88">
        <v>70000</v>
      </c>
      <c r="BB28" s="89"/>
    </row>
    <row r="29" spans="1:54" x14ac:dyDescent="0.3">
      <c r="A29" s="50"/>
      <c r="B29" s="50"/>
      <c r="C29" s="50"/>
      <c r="D29" s="50"/>
      <c r="E29" s="50"/>
      <c r="F29" s="50" t="s">
        <v>97</v>
      </c>
      <c r="G29" s="50"/>
      <c r="H29" s="51">
        <v>1100</v>
      </c>
      <c r="I29" s="51">
        <v>0</v>
      </c>
      <c r="J29" s="51">
        <v>4300</v>
      </c>
      <c r="K29" s="51">
        <v>7900</v>
      </c>
      <c r="L29" s="51">
        <v>0</v>
      </c>
      <c r="M29" s="51">
        <v>5400</v>
      </c>
      <c r="N29" s="51">
        <v>3600</v>
      </c>
      <c r="O29" s="51">
        <v>5200</v>
      </c>
      <c r="P29" s="51">
        <v>3600</v>
      </c>
      <c r="Q29" s="51">
        <v>2900</v>
      </c>
      <c r="R29" s="51">
        <v>0</v>
      </c>
      <c r="S29" s="51">
        <v>2700</v>
      </c>
      <c r="T29" s="51"/>
      <c r="U29" s="51">
        <f t="shared" si="8"/>
        <v>36700</v>
      </c>
      <c r="V29" s="67">
        <v>17000</v>
      </c>
      <c r="W29" s="67">
        <v>17000</v>
      </c>
      <c r="AB29" s="86"/>
      <c r="AC29" s="86"/>
      <c r="AD29" s="86"/>
      <c r="AE29" s="86"/>
      <c r="AF29" s="86" t="s">
        <v>97</v>
      </c>
      <c r="AG29" s="86"/>
      <c r="AH29" s="87"/>
      <c r="AI29" s="87"/>
      <c r="AJ29" s="87"/>
      <c r="AK29" s="87"/>
      <c r="AL29" s="87">
        <v>1500</v>
      </c>
      <c r="AM29" s="87">
        <v>0</v>
      </c>
      <c r="AN29" s="87">
        <v>1600</v>
      </c>
      <c r="AO29" s="87">
        <v>0</v>
      </c>
      <c r="AP29" s="87">
        <v>3000</v>
      </c>
      <c r="AQ29" s="87">
        <v>3100</v>
      </c>
      <c r="AR29" s="87">
        <v>0</v>
      </c>
      <c r="AS29" s="87">
        <v>3300</v>
      </c>
      <c r="AT29" s="87">
        <v>1500</v>
      </c>
      <c r="AU29" s="87">
        <v>3100</v>
      </c>
      <c r="AV29" s="87">
        <v>0</v>
      </c>
      <c r="AW29" s="87">
        <v>1500</v>
      </c>
      <c r="AX29" s="87"/>
      <c r="AY29" s="88">
        <f t="shared" si="9"/>
        <v>18600</v>
      </c>
      <c r="AZ29" s="88">
        <v>27000</v>
      </c>
      <c r="BA29" s="88">
        <v>17000</v>
      </c>
      <c r="BB29" s="89"/>
    </row>
    <row r="30" spans="1:54" x14ac:dyDescent="0.3">
      <c r="A30" s="50"/>
      <c r="B30" s="50"/>
      <c r="C30" s="50"/>
      <c r="D30" s="50"/>
      <c r="E30" s="50"/>
      <c r="F30" s="50" t="s">
        <v>198</v>
      </c>
      <c r="G30" s="50"/>
      <c r="H30" s="51">
        <v>0</v>
      </c>
      <c r="I30" s="51">
        <v>0</v>
      </c>
      <c r="J30" s="51">
        <v>0</v>
      </c>
      <c r="K30" s="51">
        <v>0</v>
      </c>
      <c r="L30" s="51">
        <v>0</v>
      </c>
      <c r="M30" s="51">
        <v>0</v>
      </c>
      <c r="N30" s="51">
        <v>0</v>
      </c>
      <c r="O30" s="51">
        <v>0</v>
      </c>
      <c r="P30" s="51">
        <v>0</v>
      </c>
      <c r="Q30" s="51">
        <v>300</v>
      </c>
      <c r="R30" s="51">
        <v>0</v>
      </c>
      <c r="S30" s="51">
        <v>0</v>
      </c>
      <c r="T30" s="51"/>
      <c r="U30" s="51">
        <f t="shared" si="8"/>
        <v>300</v>
      </c>
      <c r="V30" s="67">
        <v>300</v>
      </c>
      <c r="W30" s="67">
        <v>300</v>
      </c>
      <c r="AB30" s="86"/>
      <c r="AC30" s="86"/>
      <c r="AD30" s="86"/>
      <c r="AE30" s="86"/>
      <c r="AF30" s="86" t="s">
        <v>198</v>
      </c>
      <c r="AG30" s="86"/>
      <c r="AH30" s="87"/>
      <c r="AI30" s="87"/>
      <c r="AJ30" s="87"/>
      <c r="AK30" s="87"/>
      <c r="AL30" s="87">
        <v>0</v>
      </c>
      <c r="AM30" s="87">
        <v>0</v>
      </c>
      <c r="AN30" s="87">
        <v>0</v>
      </c>
      <c r="AO30" s="87">
        <v>0</v>
      </c>
      <c r="AP30" s="87">
        <v>300</v>
      </c>
      <c r="AQ30" s="87">
        <v>0</v>
      </c>
      <c r="AR30" s="87">
        <v>0</v>
      </c>
      <c r="AS30" s="87">
        <v>0</v>
      </c>
      <c r="AT30" s="87">
        <v>0</v>
      </c>
      <c r="AU30" s="87">
        <v>0</v>
      </c>
      <c r="AV30" s="87">
        <v>0</v>
      </c>
      <c r="AW30" s="87">
        <v>0</v>
      </c>
      <c r="AX30" s="87"/>
      <c r="AY30" s="88">
        <f t="shared" si="9"/>
        <v>300</v>
      </c>
      <c r="AZ30" s="88">
        <v>300</v>
      </c>
      <c r="BA30" s="88">
        <v>300</v>
      </c>
      <c r="BB30" s="89"/>
    </row>
    <row r="31" spans="1:54" ht="13.8" customHeight="1" x14ac:dyDescent="0.3">
      <c r="A31" s="50"/>
      <c r="B31" s="50"/>
      <c r="C31" s="50"/>
      <c r="D31" s="50"/>
      <c r="E31" s="50"/>
      <c r="F31" s="50" t="s">
        <v>231</v>
      </c>
      <c r="G31" s="50"/>
      <c r="H31" s="51">
        <v>1000</v>
      </c>
      <c r="I31" s="51">
        <v>500</v>
      </c>
      <c r="J31" s="51">
        <v>6500</v>
      </c>
      <c r="K31" s="51">
        <v>3000</v>
      </c>
      <c r="L31" s="51">
        <v>1000</v>
      </c>
      <c r="M31" s="51">
        <v>3000</v>
      </c>
      <c r="N31" s="51">
        <v>3500</v>
      </c>
      <c r="O31" s="51">
        <v>4000</v>
      </c>
      <c r="P31" s="51">
        <v>5000</v>
      </c>
      <c r="Q31" s="51">
        <v>4000</v>
      </c>
      <c r="R31" s="51">
        <v>0</v>
      </c>
      <c r="S31" s="51">
        <v>500</v>
      </c>
      <c r="T31" s="51"/>
      <c r="U31" s="51">
        <f t="shared" si="8"/>
        <v>32000</v>
      </c>
      <c r="V31" s="67">
        <v>6500</v>
      </c>
      <c r="W31" s="67">
        <v>6500</v>
      </c>
      <c r="AB31" s="86"/>
      <c r="AC31" s="86"/>
      <c r="AD31" s="86"/>
      <c r="AE31" s="86"/>
      <c r="AF31" s="86" t="s">
        <v>231</v>
      </c>
      <c r="AG31" s="86"/>
      <c r="AH31" s="87"/>
      <c r="AI31" s="87"/>
      <c r="AJ31" s="87"/>
      <c r="AK31" s="87"/>
      <c r="AL31" s="87">
        <v>0</v>
      </c>
      <c r="AM31" s="87">
        <v>0</v>
      </c>
      <c r="AN31" s="87">
        <v>0</v>
      </c>
      <c r="AO31" s="87">
        <v>-500</v>
      </c>
      <c r="AP31" s="87">
        <v>500</v>
      </c>
      <c r="AQ31" s="87">
        <v>2000</v>
      </c>
      <c r="AR31" s="87">
        <v>1500</v>
      </c>
      <c r="AS31" s="87">
        <v>0</v>
      </c>
      <c r="AT31" s="87">
        <v>0</v>
      </c>
      <c r="AU31" s="87">
        <v>0</v>
      </c>
      <c r="AV31" s="87">
        <v>0</v>
      </c>
      <c r="AW31" s="87">
        <v>0</v>
      </c>
      <c r="AX31" s="87"/>
      <c r="AY31" s="88">
        <f t="shared" si="9"/>
        <v>3500</v>
      </c>
      <c r="AZ31" s="88">
        <v>0</v>
      </c>
      <c r="BA31" s="88">
        <v>6500</v>
      </c>
      <c r="BB31" s="89" t="s">
        <v>257</v>
      </c>
    </row>
    <row r="32" spans="1:54" x14ac:dyDescent="0.3">
      <c r="A32" s="50"/>
      <c r="B32" s="50"/>
      <c r="C32" s="50"/>
      <c r="D32" s="50"/>
      <c r="E32" s="50"/>
      <c r="F32" s="50" t="s">
        <v>98</v>
      </c>
      <c r="G32" s="50"/>
      <c r="H32" s="51">
        <v>1480</v>
      </c>
      <c r="I32" s="51">
        <v>980</v>
      </c>
      <c r="J32" s="51">
        <v>2360</v>
      </c>
      <c r="K32" s="51">
        <v>1965</v>
      </c>
      <c r="L32" s="51">
        <v>375</v>
      </c>
      <c r="M32" s="51">
        <v>2855</v>
      </c>
      <c r="N32" s="51">
        <v>1860</v>
      </c>
      <c r="O32" s="51">
        <v>880</v>
      </c>
      <c r="P32" s="51">
        <v>4003</v>
      </c>
      <c r="Q32" s="51">
        <v>2025</v>
      </c>
      <c r="R32" s="51">
        <v>0</v>
      </c>
      <c r="S32" s="51">
        <v>1680</v>
      </c>
      <c r="T32" s="51"/>
      <c r="U32" s="51">
        <f t="shared" si="8"/>
        <v>20463</v>
      </c>
      <c r="V32" s="67">
        <v>16000</v>
      </c>
      <c r="W32" s="67">
        <v>16000</v>
      </c>
      <c r="AB32" s="86"/>
      <c r="AC32" s="86"/>
      <c r="AD32" s="86"/>
      <c r="AE32" s="86"/>
      <c r="AF32" s="86" t="s">
        <v>98</v>
      </c>
      <c r="AG32" s="86"/>
      <c r="AH32" s="87"/>
      <c r="AI32" s="87"/>
      <c r="AJ32" s="87"/>
      <c r="AK32" s="87"/>
      <c r="AL32" s="87">
        <v>1750</v>
      </c>
      <c r="AM32" s="87">
        <v>950</v>
      </c>
      <c r="AN32" s="87">
        <v>785</v>
      </c>
      <c r="AO32" s="87">
        <v>1550</v>
      </c>
      <c r="AP32" s="87">
        <v>500</v>
      </c>
      <c r="AQ32" s="87">
        <v>1320</v>
      </c>
      <c r="AR32" s="87">
        <v>1330</v>
      </c>
      <c r="AS32" s="87">
        <v>4113.1499999999996</v>
      </c>
      <c r="AT32" s="87">
        <v>2765</v>
      </c>
      <c r="AU32" s="87">
        <v>985</v>
      </c>
      <c r="AV32" s="87">
        <v>3010</v>
      </c>
      <c r="AW32" s="87">
        <v>300</v>
      </c>
      <c r="AX32" s="87"/>
      <c r="AY32" s="88">
        <f t="shared" si="9"/>
        <v>19358.150000000001</v>
      </c>
      <c r="AZ32" s="88">
        <v>12000</v>
      </c>
      <c r="BA32" s="88">
        <v>16000</v>
      </c>
      <c r="BB32" s="89"/>
    </row>
    <row r="33" spans="1:54" ht="15" thickBot="1" x14ac:dyDescent="0.35">
      <c r="A33" s="50"/>
      <c r="B33" s="50"/>
      <c r="C33" s="50"/>
      <c r="D33" s="50"/>
      <c r="E33" s="50"/>
      <c r="F33" s="50" t="s">
        <v>99</v>
      </c>
      <c r="G33" s="50"/>
      <c r="H33" s="51">
        <v>0</v>
      </c>
      <c r="I33" s="51">
        <v>0</v>
      </c>
      <c r="J33" s="51">
        <v>88.5</v>
      </c>
      <c r="K33" s="51">
        <v>15</v>
      </c>
      <c r="L33" s="51">
        <v>0</v>
      </c>
      <c r="M33" s="51">
        <v>0</v>
      </c>
      <c r="N33" s="51">
        <v>0</v>
      </c>
      <c r="O33" s="51">
        <v>0</v>
      </c>
      <c r="P33" s="51">
        <v>0</v>
      </c>
      <c r="Q33" s="51">
        <v>0</v>
      </c>
      <c r="R33" s="51">
        <v>-150</v>
      </c>
      <c r="S33" s="51">
        <v>0</v>
      </c>
      <c r="T33" s="51"/>
      <c r="U33" s="51">
        <f t="shared" si="8"/>
        <v>-46.5</v>
      </c>
      <c r="V33" s="67">
        <v>400</v>
      </c>
      <c r="W33" s="67">
        <v>400</v>
      </c>
      <c r="AB33" s="86"/>
      <c r="AC33" s="86"/>
      <c r="AD33" s="86"/>
      <c r="AE33" s="86" t="s">
        <v>100</v>
      </c>
      <c r="AF33" s="86" t="s">
        <v>99</v>
      </c>
      <c r="AG33" s="86"/>
      <c r="AH33" s="87"/>
      <c r="AI33" s="87"/>
      <c r="AJ33" s="87"/>
      <c r="AK33" s="87"/>
      <c r="AL33" s="87">
        <v>0</v>
      </c>
      <c r="AM33" s="87">
        <v>0</v>
      </c>
      <c r="AN33" s="87">
        <v>0</v>
      </c>
      <c r="AO33" s="87">
        <v>0</v>
      </c>
      <c r="AP33" s="87">
        <v>0</v>
      </c>
      <c r="AQ33" s="87">
        <v>0</v>
      </c>
      <c r="AR33" s="87">
        <v>0</v>
      </c>
      <c r="AS33" s="87">
        <v>0</v>
      </c>
      <c r="AT33" s="87">
        <v>0</v>
      </c>
      <c r="AU33" s="87">
        <v>0</v>
      </c>
      <c r="AV33" s="87">
        <v>25</v>
      </c>
      <c r="AW33" s="87">
        <v>145.41999999999999</v>
      </c>
      <c r="AX33" s="87"/>
      <c r="AY33" s="88">
        <f t="shared" si="9"/>
        <v>170.42</v>
      </c>
      <c r="AZ33" s="88">
        <v>500</v>
      </c>
      <c r="BA33" s="88">
        <v>400</v>
      </c>
      <c r="BB33" s="89"/>
    </row>
    <row r="34" spans="1:54" ht="15" thickBot="1" x14ac:dyDescent="0.35">
      <c r="A34" s="50"/>
      <c r="B34" s="50"/>
      <c r="C34" s="50"/>
      <c r="D34" s="50"/>
      <c r="E34" s="50" t="s">
        <v>100</v>
      </c>
      <c r="F34" s="50"/>
      <c r="G34" s="50"/>
      <c r="H34" s="53">
        <f t="shared" ref="H34:P34" si="10">ROUND(SUM(H23:H33),5)</f>
        <v>44230</v>
      </c>
      <c r="I34" s="53">
        <f t="shared" si="10"/>
        <v>13160</v>
      </c>
      <c r="J34" s="53">
        <f t="shared" si="10"/>
        <v>77890.5</v>
      </c>
      <c r="K34" s="53">
        <f t="shared" si="10"/>
        <v>40920</v>
      </c>
      <c r="L34" s="53">
        <f t="shared" si="10"/>
        <v>20925</v>
      </c>
      <c r="M34" s="53">
        <f t="shared" si="10"/>
        <v>32315</v>
      </c>
      <c r="N34" s="53">
        <f t="shared" si="10"/>
        <v>42070</v>
      </c>
      <c r="O34" s="53">
        <f t="shared" si="10"/>
        <v>38620</v>
      </c>
      <c r="P34" s="53">
        <f t="shared" si="10"/>
        <v>59133</v>
      </c>
      <c r="Q34" s="53">
        <f>ROUND(SUM(Q23:Q33),5)</f>
        <v>30655</v>
      </c>
      <c r="R34" s="53">
        <f>ROUND(SUM(R23:R33),5)</f>
        <v>2750</v>
      </c>
      <c r="S34" s="53">
        <f>ROUND(SUM(S23:S33),5)</f>
        <v>20000</v>
      </c>
      <c r="T34" s="53" t="s">
        <v>307</v>
      </c>
      <c r="U34" s="53">
        <f t="shared" si="8"/>
        <v>422668.5</v>
      </c>
      <c r="V34" s="53">
        <f>ROUND(SUM(V23:V33),5)</f>
        <v>343200</v>
      </c>
      <c r="W34" s="53">
        <f>ROUND(SUM(W23:W33),5)</f>
        <v>300000</v>
      </c>
      <c r="AB34" s="86"/>
      <c r="AC34" s="86"/>
      <c r="AD34" s="86" t="s">
        <v>3</v>
      </c>
      <c r="AE34" s="86"/>
      <c r="AF34" s="86"/>
      <c r="AG34" s="86"/>
      <c r="AH34" s="93"/>
      <c r="AI34" s="93"/>
      <c r="AJ34" s="93"/>
      <c r="AK34" s="93"/>
      <c r="AL34" s="93">
        <f t="shared" ref="AL34:AW34" si="11">ROUND(SUM(AL23:AL33),5)</f>
        <v>18825</v>
      </c>
      <c r="AM34" s="93">
        <f t="shared" si="11"/>
        <v>22560</v>
      </c>
      <c r="AN34" s="93">
        <f t="shared" si="11"/>
        <v>32385</v>
      </c>
      <c r="AO34" s="93">
        <f t="shared" si="11"/>
        <v>52300</v>
      </c>
      <c r="AP34" s="93">
        <f t="shared" si="11"/>
        <v>12700</v>
      </c>
      <c r="AQ34" s="93">
        <f t="shared" si="11"/>
        <v>37770</v>
      </c>
      <c r="AR34" s="93">
        <f t="shared" si="11"/>
        <v>30580</v>
      </c>
      <c r="AS34" s="93">
        <f t="shared" si="11"/>
        <v>50923.15</v>
      </c>
      <c r="AT34" s="93">
        <f t="shared" si="11"/>
        <v>53915</v>
      </c>
      <c r="AU34" s="93">
        <f t="shared" si="11"/>
        <v>24460</v>
      </c>
      <c r="AV34" s="93">
        <f t="shared" si="11"/>
        <v>16160</v>
      </c>
      <c r="AW34" s="93">
        <f t="shared" si="11"/>
        <v>21245.42</v>
      </c>
      <c r="AX34" s="93"/>
      <c r="AY34" s="94">
        <f t="shared" si="9"/>
        <v>373823.57</v>
      </c>
      <c r="AZ34" s="94">
        <f>ROUND(SUM(AZ23:AZ33),5)</f>
        <v>268800</v>
      </c>
      <c r="BA34" s="94">
        <f>ROUND(SUM(BA23:BA33),5)</f>
        <v>343200</v>
      </c>
      <c r="BB34" s="95"/>
    </row>
    <row r="35" spans="1:54" x14ac:dyDescent="0.3">
      <c r="A35" s="50"/>
      <c r="B35" s="50"/>
      <c r="C35" s="50"/>
      <c r="D35" s="50" t="s">
        <v>3</v>
      </c>
      <c r="E35" s="50"/>
      <c r="F35" s="50"/>
      <c r="G35" s="50"/>
      <c r="H35" s="51">
        <f t="shared" ref="H35:P35" si="12">ROUND(H3+H15+H22+H34,5)</f>
        <v>61275.14</v>
      </c>
      <c r="I35" s="51">
        <f t="shared" si="12"/>
        <v>21077.040000000001</v>
      </c>
      <c r="J35" s="51">
        <f t="shared" si="12"/>
        <v>86259.35</v>
      </c>
      <c r="K35" s="51">
        <f t="shared" si="12"/>
        <v>85563.12</v>
      </c>
      <c r="L35" s="51">
        <f t="shared" si="12"/>
        <v>26431.9</v>
      </c>
      <c r="M35" s="51">
        <f t="shared" si="12"/>
        <v>297669.45</v>
      </c>
      <c r="N35" s="51">
        <f t="shared" si="12"/>
        <v>218782.29</v>
      </c>
      <c r="O35" s="51">
        <f t="shared" si="12"/>
        <v>59700.88</v>
      </c>
      <c r="P35" s="51">
        <f t="shared" si="12"/>
        <v>74424.84</v>
      </c>
      <c r="Q35" s="51">
        <f>ROUND(Q3+Q15+Q22+Q34,5)</f>
        <v>104610.76</v>
      </c>
      <c r="R35" s="51">
        <f>ROUND(R3+R15+R22+R34,5)</f>
        <v>275564.61</v>
      </c>
      <c r="S35" s="51">
        <f>ROUND(S3+S15+S22+S34,5)</f>
        <v>43652.36</v>
      </c>
      <c r="T35" s="51"/>
      <c r="U35" s="51">
        <f t="shared" si="8"/>
        <v>1355011.74</v>
      </c>
      <c r="V35" s="51">
        <f>ROUND(V3+V15+V22+V34,5)</f>
        <v>1201000</v>
      </c>
      <c r="W35" s="51">
        <f>ROUND(W3+W15+W22+W34,5)</f>
        <v>1189000</v>
      </c>
      <c r="AB35" s="86"/>
      <c r="AC35" s="86"/>
      <c r="AD35" s="86" t="s">
        <v>101</v>
      </c>
      <c r="AE35" s="86"/>
      <c r="AF35" s="86"/>
      <c r="AG35" s="86"/>
      <c r="AH35" s="87"/>
      <c r="AI35" s="87"/>
      <c r="AJ35" s="87"/>
      <c r="AK35" s="87"/>
      <c r="AL35" s="87">
        <f t="shared" ref="AL35:AW35" si="13">ROUND(AL3+AL15+AL22+AL34,5)</f>
        <v>19157.96</v>
      </c>
      <c r="AM35" s="87">
        <f t="shared" si="13"/>
        <v>32762.26</v>
      </c>
      <c r="AN35" s="87">
        <f t="shared" si="13"/>
        <v>38581.82</v>
      </c>
      <c r="AO35" s="87">
        <f t="shared" si="13"/>
        <v>91690.13</v>
      </c>
      <c r="AP35" s="87">
        <f t="shared" si="13"/>
        <v>19284.080000000002</v>
      </c>
      <c r="AQ35" s="87">
        <f t="shared" si="13"/>
        <v>247789.42</v>
      </c>
      <c r="AR35" s="87">
        <f t="shared" si="13"/>
        <v>256344.78</v>
      </c>
      <c r="AS35" s="87">
        <f t="shared" si="13"/>
        <v>59246.37</v>
      </c>
      <c r="AT35" s="87">
        <f t="shared" si="13"/>
        <v>65460.81</v>
      </c>
      <c r="AU35" s="87">
        <f t="shared" si="13"/>
        <v>97264.65</v>
      </c>
      <c r="AV35" s="87">
        <f t="shared" si="13"/>
        <v>222938.27</v>
      </c>
      <c r="AW35" s="87">
        <f t="shared" si="13"/>
        <v>114688.35</v>
      </c>
      <c r="AX35" s="87"/>
      <c r="AY35" s="88">
        <f t="shared" si="9"/>
        <v>1265208.8999999999</v>
      </c>
      <c r="AZ35" s="88">
        <f>ROUND(AZ3+AZ15+AZ22+AZ34,5)</f>
        <v>1078800</v>
      </c>
      <c r="BA35" s="88">
        <f>ROUND(BA3+BA15+BA22+BA34,5)</f>
        <v>1201000</v>
      </c>
      <c r="BB35" s="89"/>
    </row>
    <row r="36" spans="1:54" hidden="1" x14ac:dyDescent="0.3">
      <c r="A36" s="50"/>
      <c r="B36" s="50"/>
      <c r="C36" s="50"/>
      <c r="D36" s="50" t="s">
        <v>101</v>
      </c>
      <c r="E36" s="50"/>
      <c r="F36" s="50"/>
      <c r="G36" s="50"/>
      <c r="H36" s="51"/>
      <c r="I36" s="51"/>
      <c r="J36" s="51"/>
      <c r="K36" s="51"/>
      <c r="L36" s="51"/>
      <c r="M36" s="51"/>
      <c r="N36" s="51"/>
      <c r="O36" s="51"/>
      <c r="P36" s="51"/>
      <c r="Q36" s="51"/>
      <c r="R36" s="51"/>
      <c r="S36" s="51"/>
      <c r="T36" s="51"/>
      <c r="U36" s="51"/>
      <c r="V36" s="51"/>
      <c r="W36" s="51"/>
      <c r="AB36" s="86"/>
      <c r="AC36" s="86"/>
      <c r="AD36" s="86"/>
      <c r="AE36" s="86" t="s">
        <v>102</v>
      </c>
      <c r="AF36" s="86"/>
      <c r="AG36" s="86"/>
      <c r="AH36" s="87"/>
      <c r="AI36" s="87"/>
      <c r="AJ36" s="87"/>
      <c r="AK36" s="87"/>
      <c r="AL36" s="87"/>
      <c r="AM36" s="87"/>
      <c r="AN36" s="87"/>
      <c r="AO36" s="87"/>
      <c r="AP36" s="87"/>
      <c r="AQ36" s="87"/>
      <c r="AR36" s="87"/>
      <c r="AS36" s="87"/>
      <c r="AT36" s="87"/>
      <c r="AU36" s="87"/>
      <c r="AV36" s="87"/>
      <c r="AW36" s="87"/>
      <c r="AX36" s="87"/>
      <c r="AY36" s="88"/>
      <c r="AZ36" s="88"/>
      <c r="BA36" s="88"/>
      <c r="BB36" s="89"/>
    </row>
    <row r="37" spans="1:54" hidden="1" x14ac:dyDescent="0.3">
      <c r="A37" s="50"/>
      <c r="B37" s="50"/>
      <c r="C37" s="50"/>
      <c r="D37" s="50"/>
      <c r="E37" s="50" t="s">
        <v>102</v>
      </c>
      <c r="F37" s="50"/>
      <c r="G37" s="50"/>
      <c r="H37" s="51">
        <v>0</v>
      </c>
      <c r="I37" s="51">
        <v>0</v>
      </c>
      <c r="J37" s="51">
        <v>0</v>
      </c>
      <c r="K37" s="51">
        <v>0</v>
      </c>
      <c r="L37" s="51">
        <v>0</v>
      </c>
      <c r="M37" s="51">
        <v>0</v>
      </c>
      <c r="N37" s="51">
        <v>0</v>
      </c>
      <c r="O37" s="51">
        <v>0</v>
      </c>
      <c r="P37" s="51">
        <v>0</v>
      </c>
      <c r="Q37" s="51">
        <v>0</v>
      </c>
      <c r="R37" s="51">
        <v>0</v>
      </c>
      <c r="S37" s="51">
        <v>0</v>
      </c>
      <c r="T37" s="51"/>
      <c r="U37" s="51">
        <f>ROUND(SUM(H37:T37),5)</f>
        <v>0</v>
      </c>
      <c r="V37" s="51">
        <v>0</v>
      </c>
      <c r="W37" s="51">
        <v>0</v>
      </c>
      <c r="AB37" s="86"/>
      <c r="AC37" s="86"/>
      <c r="AD37" s="86" t="s">
        <v>103</v>
      </c>
      <c r="AE37" s="86"/>
      <c r="AF37" s="86"/>
      <c r="AG37" s="86"/>
      <c r="AH37" s="87"/>
      <c r="AI37" s="87"/>
      <c r="AJ37" s="87"/>
      <c r="AK37" s="87"/>
      <c r="AL37" s="87">
        <v>0</v>
      </c>
      <c r="AM37" s="87">
        <v>0</v>
      </c>
      <c r="AN37" s="87">
        <v>0</v>
      </c>
      <c r="AO37" s="87">
        <v>0</v>
      </c>
      <c r="AP37" s="87">
        <v>0</v>
      </c>
      <c r="AQ37" s="87">
        <v>0</v>
      </c>
      <c r="AR37" s="87">
        <v>0</v>
      </c>
      <c r="AS37" s="87">
        <v>0</v>
      </c>
      <c r="AT37" s="87">
        <v>0</v>
      </c>
      <c r="AU37" s="87">
        <v>0</v>
      </c>
      <c r="AV37" s="87">
        <v>0</v>
      </c>
      <c r="AW37" s="87">
        <v>0</v>
      </c>
      <c r="AX37" s="87"/>
      <c r="AY37" s="88">
        <f>ROUND(SUM(AH37:AX37),5)</f>
        <v>0</v>
      </c>
      <c r="AZ37" s="88">
        <v>0</v>
      </c>
      <c r="BA37" s="88">
        <v>0</v>
      </c>
      <c r="BB37" s="89"/>
    </row>
    <row r="38" spans="1:54" ht="15" hidden="1" thickBot="1" x14ac:dyDescent="0.35">
      <c r="A38" s="50"/>
      <c r="B38" s="50"/>
      <c r="C38" s="50"/>
      <c r="D38" s="50" t="s">
        <v>103</v>
      </c>
      <c r="E38" s="50"/>
      <c r="F38" s="50"/>
      <c r="G38" s="50"/>
      <c r="H38" s="53">
        <f t="shared" ref="H38:P38" si="14">ROUND(SUM(H36:H37),5)</f>
        <v>0</v>
      </c>
      <c r="I38" s="53">
        <f t="shared" si="14"/>
        <v>0</v>
      </c>
      <c r="J38" s="53">
        <f t="shared" si="14"/>
        <v>0</v>
      </c>
      <c r="K38" s="53">
        <f t="shared" si="14"/>
        <v>0</v>
      </c>
      <c r="L38" s="53">
        <f t="shared" si="14"/>
        <v>0</v>
      </c>
      <c r="M38" s="53">
        <f t="shared" si="14"/>
        <v>0</v>
      </c>
      <c r="N38" s="53">
        <f t="shared" si="14"/>
        <v>0</v>
      </c>
      <c r="O38" s="53">
        <f t="shared" si="14"/>
        <v>0</v>
      </c>
      <c r="P38" s="53">
        <f t="shared" si="14"/>
        <v>0</v>
      </c>
      <c r="Q38" s="53">
        <f>ROUND(SUM(Q36:Q37),5)</f>
        <v>0</v>
      </c>
      <c r="R38" s="53">
        <f>ROUND(SUM(R36:R37),5)</f>
        <v>0</v>
      </c>
      <c r="S38" s="53">
        <f>ROUND(SUM(S36:S37),5)</f>
        <v>0</v>
      </c>
      <c r="T38" s="53"/>
      <c r="U38" s="53">
        <f>ROUND(SUM(H38:T38),5)</f>
        <v>0</v>
      </c>
      <c r="V38" s="53">
        <f>ROUND(SUM(V36:V37),5)</f>
        <v>0</v>
      </c>
      <c r="W38" s="53">
        <f>ROUND(SUM(W36:W37),5)</f>
        <v>0</v>
      </c>
      <c r="AB38" s="86"/>
      <c r="AC38" s="86" t="s">
        <v>104</v>
      </c>
      <c r="AD38" s="86"/>
      <c r="AE38" s="86"/>
      <c r="AF38" s="86"/>
      <c r="AG38" s="86"/>
      <c r="AH38" s="93"/>
      <c r="AI38" s="93"/>
      <c r="AJ38" s="93"/>
      <c r="AK38" s="93"/>
      <c r="AL38" s="93">
        <f t="shared" ref="AL38:AW38" si="15">ROUND(SUM(AL36:AL37),5)</f>
        <v>0</v>
      </c>
      <c r="AM38" s="93">
        <f t="shared" si="15"/>
        <v>0</v>
      </c>
      <c r="AN38" s="93">
        <f t="shared" si="15"/>
        <v>0</v>
      </c>
      <c r="AO38" s="93">
        <f t="shared" si="15"/>
        <v>0</v>
      </c>
      <c r="AP38" s="93">
        <f t="shared" si="15"/>
        <v>0</v>
      </c>
      <c r="AQ38" s="93">
        <f t="shared" si="15"/>
        <v>0</v>
      </c>
      <c r="AR38" s="93">
        <f t="shared" si="15"/>
        <v>0</v>
      </c>
      <c r="AS38" s="93">
        <f t="shared" si="15"/>
        <v>0</v>
      </c>
      <c r="AT38" s="93">
        <f t="shared" si="15"/>
        <v>0</v>
      </c>
      <c r="AU38" s="93">
        <f t="shared" si="15"/>
        <v>0</v>
      </c>
      <c r="AV38" s="93">
        <f t="shared" si="15"/>
        <v>0</v>
      </c>
      <c r="AW38" s="93">
        <f t="shared" si="15"/>
        <v>0</v>
      </c>
      <c r="AX38" s="93"/>
      <c r="AY38" s="94">
        <f>ROUND(SUM(AH38:AX38),5)</f>
        <v>0</v>
      </c>
      <c r="AZ38" s="94">
        <f>ROUND(SUM(AZ36:AZ37),5)</f>
        <v>0</v>
      </c>
      <c r="BA38" s="94">
        <f>ROUND(SUM(BA36:BA37),5)</f>
        <v>0</v>
      </c>
      <c r="BB38" s="95"/>
    </row>
    <row r="39" spans="1:54" hidden="1" x14ac:dyDescent="0.3">
      <c r="A39" s="50"/>
      <c r="B39" s="50"/>
      <c r="C39" s="50" t="s">
        <v>104</v>
      </c>
      <c r="D39" s="50"/>
      <c r="E39" s="50"/>
      <c r="F39" s="50"/>
      <c r="G39" s="50"/>
      <c r="H39" s="51">
        <f t="shared" ref="H39:P39" si="16">ROUND(H35-H38,5)</f>
        <v>61275.14</v>
      </c>
      <c r="I39" s="51">
        <f t="shared" si="16"/>
        <v>21077.040000000001</v>
      </c>
      <c r="J39" s="51">
        <f t="shared" si="16"/>
        <v>86259.35</v>
      </c>
      <c r="K39" s="51">
        <f t="shared" si="16"/>
        <v>85563.12</v>
      </c>
      <c r="L39" s="51">
        <f t="shared" si="16"/>
        <v>26431.9</v>
      </c>
      <c r="M39" s="51">
        <f t="shared" si="16"/>
        <v>297669.45</v>
      </c>
      <c r="N39" s="51">
        <f t="shared" si="16"/>
        <v>218782.29</v>
      </c>
      <c r="O39" s="51">
        <f t="shared" si="16"/>
        <v>59700.88</v>
      </c>
      <c r="P39" s="51">
        <f t="shared" si="16"/>
        <v>74424.84</v>
      </c>
      <c r="Q39" s="51">
        <f>ROUND(Q35-Q38,5)</f>
        <v>104610.76</v>
      </c>
      <c r="R39" s="51">
        <f>ROUND(R35-R38,5)</f>
        <v>275564.61</v>
      </c>
      <c r="S39" s="51">
        <f>ROUND(S35-S38,5)</f>
        <v>43652.36</v>
      </c>
      <c r="T39" s="51"/>
      <c r="U39" s="51">
        <f>ROUND(SUM(H39:T39),5)</f>
        <v>1355011.74</v>
      </c>
      <c r="V39" s="51">
        <f>ROUND(V35-V38,5)</f>
        <v>1201000</v>
      </c>
      <c r="W39" s="51">
        <f>ROUND(W35-W38,5)</f>
        <v>1189000</v>
      </c>
      <c r="AB39" s="86"/>
      <c r="AC39" s="86"/>
      <c r="AD39" s="86" t="s">
        <v>4</v>
      </c>
      <c r="AE39" s="86"/>
      <c r="AF39" s="86"/>
      <c r="AG39" s="86"/>
      <c r="AH39" s="87"/>
      <c r="AI39" s="87"/>
      <c r="AJ39" s="87"/>
      <c r="AK39" s="87"/>
      <c r="AL39" s="87">
        <f t="shared" ref="AL39:AW39" si="17">ROUND(AL35-AL38,5)</f>
        <v>19157.96</v>
      </c>
      <c r="AM39" s="87">
        <f t="shared" si="17"/>
        <v>32762.26</v>
      </c>
      <c r="AN39" s="87">
        <f t="shared" si="17"/>
        <v>38581.82</v>
      </c>
      <c r="AO39" s="87">
        <f t="shared" si="17"/>
        <v>91690.13</v>
      </c>
      <c r="AP39" s="87">
        <f t="shared" si="17"/>
        <v>19284.080000000002</v>
      </c>
      <c r="AQ39" s="87">
        <f t="shared" si="17"/>
        <v>247789.42</v>
      </c>
      <c r="AR39" s="87">
        <f t="shared" si="17"/>
        <v>256344.78</v>
      </c>
      <c r="AS39" s="87">
        <f t="shared" si="17"/>
        <v>59246.37</v>
      </c>
      <c r="AT39" s="87">
        <f t="shared" si="17"/>
        <v>65460.81</v>
      </c>
      <c r="AU39" s="87">
        <f t="shared" si="17"/>
        <v>97264.65</v>
      </c>
      <c r="AV39" s="87">
        <f t="shared" si="17"/>
        <v>222938.27</v>
      </c>
      <c r="AW39" s="87">
        <f t="shared" si="17"/>
        <v>114688.35</v>
      </c>
      <c r="AX39" s="87"/>
      <c r="AY39" s="88">
        <f>ROUND(SUM(AH39:AX39),5)</f>
        <v>1265208.8999999999</v>
      </c>
      <c r="AZ39" s="88">
        <f>ROUND(AZ35-AZ38,5)</f>
        <v>1078800</v>
      </c>
      <c r="BA39" s="88">
        <f>ROUND(BA35-BA38,5)</f>
        <v>1201000</v>
      </c>
      <c r="BB39" s="89"/>
    </row>
    <row r="40" spans="1:54" x14ac:dyDescent="0.3">
      <c r="A40" s="50"/>
      <c r="B40" s="50"/>
      <c r="C40" s="50"/>
      <c r="D40" s="50" t="s">
        <v>4</v>
      </c>
      <c r="E40" s="50"/>
      <c r="F40" s="50"/>
      <c r="G40" s="50"/>
      <c r="H40" s="51"/>
      <c r="I40" s="51"/>
      <c r="J40" s="51"/>
      <c r="K40" s="51"/>
      <c r="L40" s="51"/>
      <c r="M40" s="51"/>
      <c r="N40" s="51"/>
      <c r="O40" s="51"/>
      <c r="P40" s="51"/>
      <c r="Q40" s="51"/>
      <c r="R40" s="51"/>
      <c r="S40" s="51"/>
      <c r="T40" s="51"/>
      <c r="U40" s="51"/>
      <c r="V40" s="51"/>
      <c r="W40" s="51"/>
      <c r="AB40" s="86"/>
      <c r="AC40" s="86"/>
      <c r="AD40" s="86"/>
      <c r="AE40" s="86" t="s">
        <v>105</v>
      </c>
      <c r="AF40" s="86"/>
      <c r="AG40" s="86"/>
      <c r="AH40" s="87"/>
      <c r="AI40" s="87"/>
      <c r="AJ40" s="87"/>
      <c r="AK40" s="87"/>
      <c r="AL40" s="87"/>
      <c r="AM40" s="87"/>
      <c r="AN40" s="87"/>
      <c r="AO40" s="87"/>
      <c r="AP40" s="87"/>
      <c r="AQ40" s="87"/>
      <c r="AR40" s="87"/>
      <c r="AS40" s="87"/>
      <c r="AT40" s="87"/>
      <c r="AU40" s="87"/>
      <c r="AV40" s="87"/>
      <c r="AW40" s="87"/>
      <c r="AX40" s="87"/>
      <c r="AY40" s="88"/>
      <c r="AZ40" s="88"/>
      <c r="BA40" s="88"/>
      <c r="BB40" s="89"/>
    </row>
    <row r="41" spans="1:54" x14ac:dyDescent="0.3">
      <c r="A41" s="50"/>
      <c r="B41" s="50"/>
      <c r="C41" s="50"/>
      <c r="D41" s="50"/>
      <c r="E41" s="50" t="s">
        <v>105</v>
      </c>
      <c r="F41" s="50"/>
      <c r="G41" s="50"/>
      <c r="H41" s="51"/>
      <c r="I41" s="51"/>
      <c r="J41" s="51"/>
      <c r="K41" s="51"/>
      <c r="L41" s="51"/>
      <c r="M41" s="51"/>
      <c r="N41" s="51"/>
      <c r="O41" s="51"/>
      <c r="P41" s="51"/>
      <c r="Q41" s="51"/>
      <c r="R41" s="51"/>
      <c r="S41" s="51"/>
      <c r="T41" s="51"/>
      <c r="U41" s="51"/>
      <c r="V41" s="51"/>
      <c r="W41" s="51"/>
      <c r="AB41" s="86"/>
      <c r="AC41" s="86"/>
      <c r="AD41" s="86"/>
      <c r="AE41" s="86"/>
      <c r="AF41" s="86"/>
      <c r="AG41" s="86"/>
      <c r="AH41" s="87"/>
      <c r="AI41" s="87"/>
      <c r="AJ41" s="87"/>
      <c r="AK41" s="87"/>
      <c r="AL41" s="87"/>
      <c r="AM41" s="87"/>
      <c r="AN41" s="87"/>
      <c r="AO41" s="87"/>
      <c r="AP41" s="87"/>
      <c r="AQ41" s="87"/>
      <c r="AR41" s="87"/>
      <c r="AS41" s="87"/>
      <c r="AT41" s="87"/>
      <c r="AU41" s="87"/>
      <c r="AV41" s="87"/>
      <c r="AW41" s="87"/>
      <c r="AX41" s="87"/>
      <c r="AY41" s="88"/>
      <c r="AZ41" s="88"/>
      <c r="BA41" s="88"/>
      <c r="BB41" s="89"/>
    </row>
    <row r="42" spans="1:54" x14ac:dyDescent="0.3">
      <c r="A42" s="50"/>
      <c r="B42" s="50"/>
      <c r="C42" s="50"/>
      <c r="D42" s="50"/>
      <c r="E42" s="50"/>
      <c r="F42" s="50" t="s">
        <v>106</v>
      </c>
      <c r="G42" s="50"/>
      <c r="H42" s="51"/>
      <c r="I42" s="51"/>
      <c r="J42" s="51"/>
      <c r="K42" s="51"/>
      <c r="L42" s="51"/>
      <c r="M42" s="51"/>
      <c r="N42" s="51"/>
      <c r="O42" s="51"/>
      <c r="P42" s="51"/>
      <c r="Q42" s="51"/>
      <c r="R42" s="51"/>
      <c r="S42" s="51"/>
      <c r="T42" s="51"/>
      <c r="U42" s="51"/>
      <c r="V42" s="51"/>
      <c r="W42" s="51"/>
      <c r="AB42" s="86"/>
      <c r="AC42" s="86"/>
      <c r="AD42" s="86"/>
      <c r="AE42" s="86"/>
      <c r="AF42" s="86" t="s">
        <v>106</v>
      </c>
      <c r="AG42" s="86"/>
      <c r="AH42" s="87"/>
      <c r="AI42" s="87"/>
      <c r="AJ42" s="87"/>
      <c r="AK42" s="87"/>
      <c r="AL42" s="87"/>
      <c r="AM42" s="87"/>
      <c r="AN42" s="87"/>
      <c r="AO42" s="87"/>
      <c r="AP42" s="87"/>
      <c r="AQ42" s="87"/>
      <c r="AR42" s="87"/>
      <c r="AS42" s="87"/>
      <c r="AT42" s="87"/>
      <c r="AU42" s="87"/>
      <c r="AV42" s="87"/>
      <c r="AW42" s="87"/>
      <c r="AX42" s="87"/>
      <c r="AY42" s="88"/>
      <c r="AZ42" s="88"/>
      <c r="BA42" s="88"/>
      <c r="BB42" s="89"/>
    </row>
    <row r="43" spans="1:54" x14ac:dyDescent="0.3">
      <c r="A43" s="50"/>
      <c r="B43" s="50"/>
      <c r="C43" s="50"/>
      <c r="D43" s="50"/>
      <c r="E43" s="50"/>
      <c r="F43" s="50"/>
      <c r="G43" s="50" t="s">
        <v>107</v>
      </c>
      <c r="H43" s="51">
        <v>8772.68</v>
      </c>
      <c r="I43" s="51">
        <v>17294.16</v>
      </c>
      <c r="J43" s="51">
        <v>20600.22</v>
      </c>
      <c r="K43" s="51">
        <v>22987.7</v>
      </c>
      <c r="L43" s="51">
        <v>15845.14</v>
      </c>
      <c r="M43" s="51">
        <v>18074.96</v>
      </c>
      <c r="N43" s="51">
        <v>35615.51</v>
      </c>
      <c r="O43" s="51">
        <v>18384.71</v>
      </c>
      <c r="P43" s="51">
        <v>18295.900000000001</v>
      </c>
      <c r="Q43" s="51">
        <v>27577.57</v>
      </c>
      <c r="R43" s="51">
        <v>18483.97</v>
      </c>
      <c r="S43" s="51">
        <v>21987.85</v>
      </c>
      <c r="T43" s="51"/>
      <c r="U43" s="51">
        <f>ROUND(SUM(H43:T43),5)</f>
        <v>243920.37</v>
      </c>
      <c r="V43" s="67">
        <v>281000</v>
      </c>
      <c r="W43" s="67">
        <v>319000</v>
      </c>
      <c r="X43" s="68" t="s">
        <v>207</v>
      </c>
      <c r="AB43" s="86"/>
      <c r="AC43" s="86"/>
      <c r="AD43" s="86"/>
      <c r="AE43" s="86"/>
      <c r="AF43" s="86"/>
      <c r="AG43" s="86" t="s">
        <v>107</v>
      </c>
      <c r="AH43" s="87"/>
      <c r="AI43" s="87"/>
      <c r="AJ43" s="87"/>
      <c r="AK43" s="87"/>
      <c r="AL43" s="87">
        <v>8942.48</v>
      </c>
      <c r="AM43" s="87">
        <v>16476.650000000001</v>
      </c>
      <c r="AN43" s="87">
        <v>17665.79</v>
      </c>
      <c r="AO43" s="87">
        <v>27986.11</v>
      </c>
      <c r="AP43" s="87">
        <v>14362.23</v>
      </c>
      <c r="AQ43" s="87">
        <v>14423.56</v>
      </c>
      <c r="AR43" s="87">
        <v>24698.48</v>
      </c>
      <c r="AS43" s="87">
        <v>16746.79</v>
      </c>
      <c r="AT43" s="87">
        <v>16868.52</v>
      </c>
      <c r="AU43" s="87">
        <v>25401.13</v>
      </c>
      <c r="AV43" s="87">
        <v>26898.32</v>
      </c>
      <c r="AW43" s="87">
        <v>21343.49</v>
      </c>
      <c r="AX43" s="87"/>
      <c r="AY43" s="88">
        <f t="shared" ref="AY43:AY50" si="18">ROUND(SUM(AH43:AX43),5)</f>
        <v>231813.55</v>
      </c>
      <c r="AZ43" s="88">
        <v>235000</v>
      </c>
      <c r="BA43" s="88">
        <v>281000</v>
      </c>
      <c r="BB43" s="89" t="s">
        <v>207</v>
      </c>
    </row>
    <row r="44" spans="1:54" x14ac:dyDescent="0.3">
      <c r="A44" s="50"/>
      <c r="B44" s="50"/>
      <c r="C44" s="50"/>
      <c r="D44" s="50"/>
      <c r="E44" s="50"/>
      <c r="F44" s="50"/>
      <c r="G44" s="50" t="s">
        <v>108</v>
      </c>
      <c r="H44" s="51">
        <v>0</v>
      </c>
      <c r="I44" s="51">
        <v>0</v>
      </c>
      <c r="J44" s="51">
        <v>0</v>
      </c>
      <c r="K44" s="51">
        <v>0</v>
      </c>
      <c r="L44" s="51">
        <v>0</v>
      </c>
      <c r="M44" s="51">
        <v>6280.13</v>
      </c>
      <c r="N44" s="51">
        <v>0</v>
      </c>
      <c r="O44" s="51">
        <v>0</v>
      </c>
      <c r="P44" s="51">
        <v>0</v>
      </c>
      <c r="Q44" s="51">
        <v>0</v>
      </c>
      <c r="R44" s="51">
        <v>0</v>
      </c>
      <c r="S44" s="51">
        <v>0</v>
      </c>
      <c r="T44" s="51"/>
      <c r="U44" s="51">
        <f>ROUND(SUM(H44:T44),5)</f>
        <v>6280.13</v>
      </c>
      <c r="V44" s="67">
        <v>5000</v>
      </c>
      <c r="W44" s="67">
        <v>6500</v>
      </c>
      <c r="X44" s="68" t="s">
        <v>207</v>
      </c>
      <c r="AB44" s="86"/>
      <c r="AC44" s="86"/>
      <c r="AD44" s="86"/>
      <c r="AE44" s="86"/>
      <c r="AF44" s="86"/>
      <c r="AG44" s="86" t="s">
        <v>212</v>
      </c>
      <c r="AH44" s="87"/>
      <c r="AI44" s="87"/>
      <c r="AJ44" s="87"/>
      <c r="AK44" s="87"/>
      <c r="AL44" s="87">
        <v>0</v>
      </c>
      <c r="AM44" s="87">
        <v>0</v>
      </c>
      <c r="AN44" s="87">
        <v>0</v>
      </c>
      <c r="AO44" s="87">
        <v>0</v>
      </c>
      <c r="AP44" s="87">
        <v>0</v>
      </c>
      <c r="AQ44" s="87">
        <v>0</v>
      </c>
      <c r="AR44" s="87">
        <v>0</v>
      </c>
      <c r="AS44" s="87">
        <v>0</v>
      </c>
      <c r="AT44" s="87">
        <v>0</v>
      </c>
      <c r="AU44" s="87">
        <v>0</v>
      </c>
      <c r="AV44" s="87">
        <v>0</v>
      </c>
      <c r="AW44" s="87">
        <v>0</v>
      </c>
      <c r="AX44" s="87"/>
      <c r="AY44" s="88">
        <f t="shared" si="18"/>
        <v>0</v>
      </c>
      <c r="AZ44" s="88">
        <v>43680</v>
      </c>
      <c r="BA44" s="88">
        <v>43680</v>
      </c>
      <c r="BB44" s="89" t="s">
        <v>245</v>
      </c>
    </row>
    <row r="45" spans="1:54" ht="21.6" x14ac:dyDescent="0.3">
      <c r="A45" s="50"/>
      <c r="B45" s="50"/>
      <c r="C45" s="50"/>
      <c r="D45" s="50"/>
      <c r="E45" s="50"/>
      <c r="F45" s="50"/>
      <c r="G45" s="50" t="s">
        <v>276</v>
      </c>
      <c r="H45" s="51">
        <v>0</v>
      </c>
      <c r="I45" s="51">
        <v>0</v>
      </c>
      <c r="J45" s="51">
        <v>0</v>
      </c>
      <c r="K45" s="51">
        <v>0</v>
      </c>
      <c r="L45" s="51">
        <v>0</v>
      </c>
      <c r="M45" s="51">
        <v>0</v>
      </c>
      <c r="N45" s="51">
        <v>0</v>
      </c>
      <c r="O45" s="51">
        <v>0</v>
      </c>
      <c r="P45" s="51">
        <v>0</v>
      </c>
      <c r="Q45" s="51">
        <v>0</v>
      </c>
      <c r="R45" s="51">
        <v>0</v>
      </c>
      <c r="S45" s="51">
        <v>0</v>
      </c>
      <c r="T45" s="51"/>
      <c r="U45" s="51">
        <f>ROUND(SUM(H45:T45),5)</f>
        <v>0</v>
      </c>
      <c r="V45" s="67">
        <v>5500</v>
      </c>
      <c r="W45" s="67">
        <v>0</v>
      </c>
      <c r="X45" s="68" t="s">
        <v>305</v>
      </c>
      <c r="AB45" s="86"/>
      <c r="AC45" s="86"/>
      <c r="AD45" s="86"/>
      <c r="AE45" s="86"/>
      <c r="AF45" s="86"/>
      <c r="AG45" s="86" t="s">
        <v>108</v>
      </c>
      <c r="AH45" s="87"/>
      <c r="AI45" s="87"/>
      <c r="AJ45" s="87"/>
      <c r="AK45" s="87"/>
      <c r="AL45" s="87">
        <v>0</v>
      </c>
      <c r="AM45" s="87">
        <v>0</v>
      </c>
      <c r="AN45" s="87">
        <v>0</v>
      </c>
      <c r="AO45" s="87">
        <v>0</v>
      </c>
      <c r="AP45" s="87">
        <v>0</v>
      </c>
      <c r="AQ45" s="87">
        <v>3986.45</v>
      </c>
      <c r="AR45" s="87">
        <v>0</v>
      </c>
      <c r="AS45" s="87">
        <v>0</v>
      </c>
      <c r="AT45" s="87">
        <v>0</v>
      </c>
      <c r="AU45" s="87">
        <v>6572.5</v>
      </c>
      <c r="AV45" s="87">
        <v>0</v>
      </c>
      <c r="AW45" s="87">
        <v>0</v>
      </c>
      <c r="AX45" s="87"/>
      <c r="AY45" s="88">
        <f t="shared" si="18"/>
        <v>10558.95</v>
      </c>
      <c r="AZ45" s="88">
        <v>4500</v>
      </c>
      <c r="BA45" s="88">
        <v>5000</v>
      </c>
      <c r="BB45" s="89" t="s">
        <v>207</v>
      </c>
    </row>
    <row r="46" spans="1:54" ht="15" thickBot="1" x14ac:dyDescent="0.35">
      <c r="A46" s="50"/>
      <c r="B46" s="50"/>
      <c r="C46" s="50"/>
      <c r="D46" s="50"/>
      <c r="E46" s="50"/>
      <c r="F46" s="50"/>
      <c r="G46" s="50" t="s">
        <v>109</v>
      </c>
      <c r="H46" s="52">
        <v>35.64</v>
      </c>
      <c r="I46" s="52">
        <v>35.64</v>
      </c>
      <c r="J46" s="52">
        <v>35.64</v>
      </c>
      <c r="K46" s="52">
        <v>35.64</v>
      </c>
      <c r="L46" s="52">
        <v>35.64</v>
      </c>
      <c r="M46" s="52">
        <v>35.64</v>
      </c>
      <c r="N46" s="52">
        <v>35.64</v>
      </c>
      <c r="O46" s="52">
        <v>35.64</v>
      </c>
      <c r="P46" s="52">
        <v>35.64</v>
      </c>
      <c r="Q46" s="52">
        <v>35.64</v>
      </c>
      <c r="R46" s="52">
        <v>35.64</v>
      </c>
      <c r="S46" s="52">
        <v>35.64</v>
      </c>
      <c r="T46" s="52"/>
      <c r="U46" s="52">
        <f>ROUND(SUM(H46:T46),5)</f>
        <v>427.68</v>
      </c>
      <c r="V46" s="69">
        <v>450</v>
      </c>
      <c r="W46" s="69">
        <v>450</v>
      </c>
      <c r="X46" s="68" t="s">
        <v>207</v>
      </c>
      <c r="AB46" s="86"/>
      <c r="AC46" s="86"/>
      <c r="AD46" s="86"/>
      <c r="AE46" s="86"/>
      <c r="AF46" s="86"/>
      <c r="AG46" s="86" t="s">
        <v>237</v>
      </c>
      <c r="AH46" s="87"/>
      <c r="AI46" s="87"/>
      <c r="AJ46" s="87"/>
      <c r="AK46" s="87"/>
      <c r="AL46" s="87">
        <v>0</v>
      </c>
      <c r="AM46" s="87">
        <v>0</v>
      </c>
      <c r="AN46" s="87">
        <v>0</v>
      </c>
      <c r="AO46" s="87">
        <v>0</v>
      </c>
      <c r="AP46" s="87">
        <v>0</v>
      </c>
      <c r="AQ46" s="87">
        <v>0</v>
      </c>
      <c r="AR46" s="87">
        <v>0</v>
      </c>
      <c r="AS46" s="87">
        <v>0</v>
      </c>
      <c r="AT46" s="87">
        <v>0</v>
      </c>
      <c r="AU46" s="87">
        <v>0</v>
      </c>
      <c r="AV46" s="87">
        <v>0</v>
      </c>
      <c r="AW46" s="87">
        <v>0</v>
      </c>
      <c r="AX46" s="87"/>
      <c r="AY46" s="88">
        <f t="shared" si="18"/>
        <v>0</v>
      </c>
      <c r="AZ46" s="88">
        <v>5100</v>
      </c>
      <c r="BA46" s="88">
        <v>5500</v>
      </c>
      <c r="BB46" s="89" t="s">
        <v>207</v>
      </c>
    </row>
    <row r="47" spans="1:54" ht="15" thickBot="1" x14ac:dyDescent="0.35">
      <c r="A47" s="50"/>
      <c r="B47" s="50"/>
      <c r="C47" s="50"/>
      <c r="D47" s="50"/>
      <c r="E47" s="50"/>
      <c r="F47" s="50" t="s">
        <v>110</v>
      </c>
      <c r="G47" s="50"/>
      <c r="H47" s="51">
        <f t="shared" ref="H47:S47" si="19">ROUND(SUM(H42:H46),5)</f>
        <v>8808.32</v>
      </c>
      <c r="I47" s="51">
        <f t="shared" si="19"/>
        <v>17329.8</v>
      </c>
      <c r="J47" s="51">
        <f t="shared" si="19"/>
        <v>20635.86</v>
      </c>
      <c r="K47" s="51">
        <f t="shared" si="19"/>
        <v>23023.34</v>
      </c>
      <c r="L47" s="51">
        <f t="shared" si="19"/>
        <v>15880.78</v>
      </c>
      <c r="M47" s="51">
        <f t="shared" si="19"/>
        <v>24390.73</v>
      </c>
      <c r="N47" s="51">
        <f t="shared" si="19"/>
        <v>35651.15</v>
      </c>
      <c r="O47" s="51">
        <f t="shared" si="19"/>
        <v>18420.349999999999</v>
      </c>
      <c r="P47" s="51">
        <f t="shared" si="19"/>
        <v>18331.54</v>
      </c>
      <c r="Q47" s="51">
        <f t="shared" si="19"/>
        <v>27613.21</v>
      </c>
      <c r="R47" s="51">
        <f t="shared" si="19"/>
        <v>18519.61</v>
      </c>
      <c r="S47" s="51">
        <f t="shared" si="19"/>
        <v>22023.49</v>
      </c>
      <c r="T47" s="51"/>
      <c r="U47" s="51">
        <f>ROUND(SUM(H47:T47),5)</f>
        <v>250628.18</v>
      </c>
      <c r="V47" s="51">
        <f>ROUND(SUM(V42:V46),5)</f>
        <v>291950</v>
      </c>
      <c r="W47" s="51">
        <f>ROUND(SUM(W42:W46),5)</f>
        <v>325950</v>
      </c>
      <c r="AB47" s="86"/>
      <c r="AC47" s="86"/>
      <c r="AD47" s="86"/>
      <c r="AE47" s="86"/>
      <c r="AF47" s="86"/>
      <c r="AG47" s="86" t="s">
        <v>109</v>
      </c>
      <c r="AH47" s="90"/>
      <c r="AI47" s="90"/>
      <c r="AJ47" s="90"/>
      <c r="AK47" s="90"/>
      <c r="AL47" s="90">
        <v>35.64</v>
      </c>
      <c r="AM47" s="90">
        <v>35.64</v>
      </c>
      <c r="AN47" s="90">
        <v>35.64</v>
      </c>
      <c r="AO47" s="90">
        <v>35.64</v>
      </c>
      <c r="AP47" s="90">
        <v>35.64</v>
      </c>
      <c r="AQ47" s="90">
        <v>35.64</v>
      </c>
      <c r="AR47" s="90">
        <v>35.64</v>
      </c>
      <c r="AS47" s="90">
        <v>35.64</v>
      </c>
      <c r="AT47" s="90">
        <v>35.64</v>
      </c>
      <c r="AU47" s="90">
        <v>35.64</v>
      </c>
      <c r="AV47" s="90">
        <v>35.64</v>
      </c>
      <c r="AW47" s="90">
        <v>35.64</v>
      </c>
      <c r="AX47" s="90"/>
      <c r="AY47" s="91">
        <f t="shared" si="18"/>
        <v>427.68</v>
      </c>
      <c r="AZ47" s="91">
        <v>450</v>
      </c>
      <c r="BA47" s="91">
        <v>450</v>
      </c>
      <c r="BB47" s="92"/>
    </row>
    <row r="48" spans="1:54" x14ac:dyDescent="0.3">
      <c r="A48" s="50"/>
      <c r="B48" s="50"/>
      <c r="C48" s="50"/>
      <c r="D48" s="50"/>
      <c r="E48" s="50"/>
      <c r="F48" s="50"/>
      <c r="G48" s="50"/>
      <c r="H48" s="51"/>
      <c r="I48" s="51"/>
      <c r="J48" s="51"/>
      <c r="K48" s="51"/>
      <c r="L48" s="51"/>
      <c r="M48" s="51"/>
      <c r="N48" s="51"/>
      <c r="O48" s="51"/>
      <c r="P48" s="51"/>
      <c r="Q48" s="51"/>
      <c r="R48" s="51"/>
      <c r="S48" s="51"/>
      <c r="T48" s="51"/>
      <c r="U48" s="51"/>
      <c r="V48" s="51"/>
      <c r="W48" s="51"/>
      <c r="AB48" s="86"/>
      <c r="AC48" s="86"/>
      <c r="AD48" s="86"/>
      <c r="AE48" s="86"/>
      <c r="AF48" s="86"/>
      <c r="AG48" s="86"/>
      <c r="AH48" s="87"/>
      <c r="AI48" s="87"/>
      <c r="AJ48" s="87"/>
      <c r="AK48" s="87"/>
      <c r="AL48" s="87"/>
      <c r="AM48" s="87"/>
      <c r="AN48" s="87"/>
      <c r="AO48" s="87"/>
      <c r="AP48" s="87"/>
      <c r="AQ48" s="87"/>
      <c r="AR48" s="87"/>
      <c r="AS48" s="87"/>
      <c r="AT48" s="87"/>
      <c r="AU48" s="87"/>
      <c r="AV48" s="87"/>
      <c r="AW48" s="87"/>
      <c r="AX48" s="87"/>
      <c r="AY48" s="88"/>
      <c r="AZ48" s="88"/>
      <c r="BA48" s="88"/>
      <c r="BB48" s="89"/>
    </row>
    <row r="49" spans="1:54" x14ac:dyDescent="0.3">
      <c r="A49" s="50"/>
      <c r="B49" s="50"/>
      <c r="C49" s="50"/>
      <c r="D49" s="50"/>
      <c r="E49" s="50"/>
      <c r="F49" s="50"/>
      <c r="G49" s="50"/>
      <c r="H49" s="51"/>
      <c r="I49" s="51"/>
      <c r="J49" s="51"/>
      <c r="K49" s="51"/>
      <c r="L49" s="51"/>
      <c r="M49" s="51"/>
      <c r="N49" s="51"/>
      <c r="O49" s="51"/>
      <c r="P49" s="51"/>
      <c r="Q49" s="51"/>
      <c r="R49" s="51"/>
      <c r="S49" s="51"/>
      <c r="T49" s="51"/>
      <c r="U49" s="51"/>
      <c r="V49" s="51"/>
      <c r="W49" s="51"/>
      <c r="AB49" s="86"/>
      <c r="AC49" s="86"/>
      <c r="AD49" s="86"/>
      <c r="AE49" s="86"/>
      <c r="AF49" s="86"/>
      <c r="AG49" s="86"/>
      <c r="AH49" s="87"/>
      <c r="AI49" s="87"/>
      <c r="AJ49" s="87"/>
      <c r="AK49" s="87"/>
      <c r="AL49" s="87"/>
      <c r="AM49" s="87"/>
      <c r="AN49" s="87"/>
      <c r="AO49" s="87"/>
      <c r="AP49" s="87"/>
      <c r="AQ49" s="87"/>
      <c r="AR49" s="87"/>
      <c r="AS49" s="87"/>
      <c r="AT49" s="87"/>
      <c r="AU49" s="87"/>
      <c r="AV49" s="87"/>
      <c r="AW49" s="87"/>
      <c r="AX49" s="87"/>
      <c r="AY49" s="88"/>
      <c r="AZ49" s="88"/>
      <c r="BA49" s="88"/>
      <c r="BB49" s="89"/>
    </row>
    <row r="50" spans="1:54" x14ac:dyDescent="0.3">
      <c r="A50" s="50"/>
      <c r="B50" s="50"/>
      <c r="C50" s="50"/>
      <c r="D50" s="50"/>
      <c r="E50" s="50"/>
      <c r="F50" s="50" t="s">
        <v>277</v>
      </c>
      <c r="G50" s="50"/>
      <c r="H50" s="51"/>
      <c r="I50" s="51"/>
      <c r="J50" s="51"/>
      <c r="K50" s="51"/>
      <c r="L50" s="51"/>
      <c r="M50" s="51"/>
      <c r="N50" s="51"/>
      <c r="O50" s="51"/>
      <c r="P50" s="51"/>
      <c r="Q50" s="51"/>
      <c r="R50" s="51"/>
      <c r="S50" s="51"/>
      <c r="T50" s="51"/>
      <c r="U50" s="51"/>
      <c r="V50" s="51"/>
      <c r="W50" s="51"/>
      <c r="AB50" s="86"/>
      <c r="AC50" s="86"/>
      <c r="AD50" s="86"/>
      <c r="AE50" s="86"/>
      <c r="AF50" s="86" t="s">
        <v>110</v>
      </c>
      <c r="AG50" s="86"/>
      <c r="AH50" s="87"/>
      <c r="AI50" s="87"/>
      <c r="AJ50" s="87"/>
      <c r="AK50" s="87"/>
      <c r="AL50" s="87">
        <f t="shared" ref="AL50:AW50" si="20">ROUND(SUM(AL42:AL47),5)</f>
        <v>8978.1200000000008</v>
      </c>
      <c r="AM50" s="87">
        <f t="shared" si="20"/>
        <v>16512.29</v>
      </c>
      <c r="AN50" s="87">
        <f t="shared" si="20"/>
        <v>17701.43</v>
      </c>
      <c r="AO50" s="87">
        <f t="shared" si="20"/>
        <v>28021.75</v>
      </c>
      <c r="AP50" s="87">
        <f t="shared" si="20"/>
        <v>14397.87</v>
      </c>
      <c r="AQ50" s="87">
        <f t="shared" si="20"/>
        <v>18445.650000000001</v>
      </c>
      <c r="AR50" s="87">
        <f t="shared" si="20"/>
        <v>24734.12</v>
      </c>
      <c r="AS50" s="87">
        <f t="shared" si="20"/>
        <v>16782.43</v>
      </c>
      <c r="AT50" s="87">
        <f t="shared" si="20"/>
        <v>16904.16</v>
      </c>
      <c r="AU50" s="87">
        <f t="shared" si="20"/>
        <v>32009.27</v>
      </c>
      <c r="AV50" s="87">
        <f t="shared" si="20"/>
        <v>26933.96</v>
      </c>
      <c r="AW50" s="87">
        <f t="shared" si="20"/>
        <v>21379.13</v>
      </c>
      <c r="AX50" s="87"/>
      <c r="AY50" s="88">
        <f t="shared" si="18"/>
        <v>242800.18</v>
      </c>
      <c r="AZ50" s="88">
        <f>ROUND(SUM(AZ42:AZ47),5)</f>
        <v>288730</v>
      </c>
      <c r="BA50" s="88">
        <f>ROUND(SUM(BA42:BA47),5)</f>
        <v>335630</v>
      </c>
      <c r="BB50" s="89"/>
    </row>
    <row r="51" spans="1:54" ht="15" thickBot="1" x14ac:dyDescent="0.35">
      <c r="A51" s="50"/>
      <c r="B51" s="50"/>
      <c r="C51" s="50"/>
      <c r="D51" s="50"/>
      <c r="E51" s="50"/>
      <c r="F51" s="50"/>
      <c r="G51" s="50" t="s">
        <v>212</v>
      </c>
      <c r="H51" s="52">
        <v>0</v>
      </c>
      <c r="I51" s="52">
        <v>0</v>
      </c>
      <c r="J51" s="52">
        <v>0</v>
      </c>
      <c r="K51" s="52">
        <v>1254.4000000000001</v>
      </c>
      <c r="L51" s="52">
        <v>851.2</v>
      </c>
      <c r="M51" s="52">
        <v>0</v>
      </c>
      <c r="N51" s="52">
        <v>0</v>
      </c>
      <c r="O51" s="52">
        <v>0</v>
      </c>
      <c r="P51" s="52">
        <v>0</v>
      </c>
      <c r="Q51" s="52">
        <v>0</v>
      </c>
      <c r="R51" s="52">
        <v>0</v>
      </c>
      <c r="S51" s="52">
        <v>0</v>
      </c>
      <c r="T51" s="52"/>
      <c r="U51" s="52">
        <f>ROUND(SUM(H51:T51),5)</f>
        <v>2105.6</v>
      </c>
      <c r="V51" s="52">
        <v>43680</v>
      </c>
      <c r="W51" s="52">
        <v>0</v>
      </c>
      <c r="X51" s="68" t="s">
        <v>297</v>
      </c>
      <c r="AB51" s="86"/>
      <c r="AC51" s="86"/>
      <c r="AD51" s="86"/>
      <c r="AE51" s="86"/>
      <c r="AF51" s="86"/>
      <c r="AG51" s="86"/>
      <c r="AH51" s="87"/>
      <c r="AI51" s="87"/>
      <c r="AJ51" s="87"/>
      <c r="AK51" s="87"/>
      <c r="AL51" s="87"/>
      <c r="AM51" s="87"/>
      <c r="AN51" s="87"/>
      <c r="AO51" s="87"/>
      <c r="AP51" s="87"/>
      <c r="AQ51" s="87"/>
      <c r="AR51" s="87"/>
      <c r="AS51" s="87"/>
      <c r="AT51" s="87"/>
      <c r="AU51" s="87"/>
      <c r="AV51" s="87"/>
      <c r="AW51" s="87"/>
      <c r="AX51" s="87"/>
      <c r="AY51" s="88"/>
      <c r="AZ51" s="88"/>
      <c r="BA51" s="88"/>
      <c r="BB51" s="89"/>
    </row>
    <row r="52" spans="1:54" x14ac:dyDescent="0.3">
      <c r="A52" s="50"/>
      <c r="B52" s="50"/>
      <c r="C52" s="50"/>
      <c r="D52" s="50"/>
      <c r="E52" s="50"/>
      <c r="F52" s="50" t="s">
        <v>278</v>
      </c>
      <c r="G52" s="50"/>
      <c r="H52" s="51">
        <f t="shared" ref="H52:P52" si="21">ROUND(SUM(H50:H51),5)</f>
        <v>0</v>
      </c>
      <c r="I52" s="51">
        <f t="shared" si="21"/>
        <v>0</v>
      </c>
      <c r="J52" s="51">
        <f t="shared" si="21"/>
        <v>0</v>
      </c>
      <c r="K52" s="51">
        <f t="shared" si="21"/>
        <v>1254.4000000000001</v>
      </c>
      <c r="L52" s="51">
        <f t="shared" si="21"/>
        <v>851.2</v>
      </c>
      <c r="M52" s="51">
        <f t="shared" si="21"/>
        <v>0</v>
      </c>
      <c r="N52" s="51">
        <f t="shared" si="21"/>
        <v>0</v>
      </c>
      <c r="O52" s="51">
        <f t="shared" si="21"/>
        <v>0</v>
      </c>
      <c r="P52" s="51">
        <f t="shared" si="21"/>
        <v>0</v>
      </c>
      <c r="Q52" s="51">
        <f>ROUND(SUM(Q50:Q51),5)</f>
        <v>0</v>
      </c>
      <c r="R52" s="51">
        <f>ROUND(SUM(R50:R51),5)</f>
        <v>0</v>
      </c>
      <c r="S52" s="51">
        <f>ROUND(SUM(S50:S51),5)</f>
        <v>0</v>
      </c>
      <c r="T52" s="51"/>
      <c r="U52" s="51">
        <f>ROUND(SUM(H52:T52),5)</f>
        <v>2105.6</v>
      </c>
      <c r="V52" s="51">
        <f>ROUND(SUM(V50:V51),5)</f>
        <v>43680</v>
      </c>
      <c r="W52" s="51">
        <f>ROUND(SUM(W50:W51),5)</f>
        <v>0</v>
      </c>
      <c r="AB52" s="86"/>
      <c r="AC52" s="86"/>
      <c r="AD52" s="86"/>
      <c r="AE52" s="86"/>
      <c r="AF52" s="86"/>
      <c r="AG52" s="86"/>
      <c r="AH52" s="87"/>
      <c r="AI52" s="87"/>
      <c r="AJ52" s="87"/>
      <c r="AK52" s="87"/>
      <c r="AL52" s="87"/>
      <c r="AM52" s="87"/>
      <c r="AN52" s="87"/>
      <c r="AO52" s="87"/>
      <c r="AP52" s="87"/>
      <c r="AQ52" s="87"/>
      <c r="AR52" s="87"/>
      <c r="AS52" s="87"/>
      <c r="AT52" s="87"/>
      <c r="AU52" s="87"/>
      <c r="AV52" s="87"/>
      <c r="AW52" s="87"/>
      <c r="AX52" s="87"/>
      <c r="AY52" s="88"/>
      <c r="AZ52" s="88"/>
      <c r="BA52" s="88"/>
      <c r="BB52" s="89"/>
    </row>
    <row r="53" spans="1:54" x14ac:dyDescent="0.3">
      <c r="A53" s="50"/>
      <c r="B53" s="50"/>
      <c r="C53" s="50"/>
      <c r="D53" s="50"/>
      <c r="E53" s="50"/>
      <c r="F53" s="50" t="s">
        <v>111</v>
      </c>
      <c r="G53" s="50"/>
      <c r="H53" s="51"/>
      <c r="I53" s="51"/>
      <c r="J53" s="51"/>
      <c r="K53" s="51"/>
      <c r="L53" s="51"/>
      <c r="M53" s="51"/>
      <c r="N53" s="51"/>
      <c r="O53" s="51"/>
      <c r="P53" s="51"/>
      <c r="Q53" s="51"/>
      <c r="R53" s="51"/>
      <c r="S53" s="51"/>
      <c r="T53" s="51"/>
      <c r="U53" s="51"/>
      <c r="V53" s="51"/>
      <c r="W53" s="51"/>
      <c r="AB53" s="86"/>
      <c r="AC53" s="86"/>
      <c r="AD53" s="86"/>
      <c r="AE53" s="86"/>
      <c r="AF53" s="86" t="s">
        <v>111</v>
      </c>
      <c r="AG53" s="86"/>
      <c r="AH53" s="87"/>
      <c r="AI53" s="87"/>
      <c r="AJ53" s="87"/>
      <c r="AK53" s="87"/>
      <c r="AL53" s="87"/>
      <c r="AM53" s="87"/>
      <c r="AN53" s="87"/>
      <c r="AO53" s="87"/>
      <c r="AP53" s="87"/>
      <c r="AQ53" s="87"/>
      <c r="AR53" s="87"/>
      <c r="AS53" s="87"/>
      <c r="AT53" s="87"/>
      <c r="AU53" s="87"/>
      <c r="AV53" s="87"/>
      <c r="AW53" s="87"/>
      <c r="AX53" s="87"/>
      <c r="AY53" s="88"/>
      <c r="AZ53" s="88"/>
      <c r="BA53" s="88"/>
      <c r="BB53" s="89"/>
    </row>
    <row r="54" spans="1:54" x14ac:dyDescent="0.3">
      <c r="A54" s="50"/>
      <c r="B54" s="50"/>
      <c r="C54" s="50"/>
      <c r="D54" s="50"/>
      <c r="E54" s="50"/>
      <c r="F54" s="50"/>
      <c r="G54" s="50" t="s">
        <v>112</v>
      </c>
      <c r="H54" s="51">
        <v>1363.28</v>
      </c>
      <c r="I54" s="51">
        <v>1867.01</v>
      </c>
      <c r="J54" s="51">
        <v>656.6</v>
      </c>
      <c r="K54" s="51">
        <v>1950.84</v>
      </c>
      <c r="L54" s="51">
        <v>1313.48</v>
      </c>
      <c r="M54" s="51">
        <v>1320.95</v>
      </c>
      <c r="N54" s="51">
        <v>1321.44</v>
      </c>
      <c r="O54" s="51">
        <v>1329.6</v>
      </c>
      <c r="P54" s="51">
        <v>1319.97</v>
      </c>
      <c r="Q54" s="51">
        <v>1985.98</v>
      </c>
      <c r="R54" s="51">
        <v>1328.89</v>
      </c>
      <c r="S54" s="51">
        <v>1197.02</v>
      </c>
      <c r="T54" s="51"/>
      <c r="U54" s="51">
        <f>ROUND(SUM(H54:T54),5)</f>
        <v>16955.060000000001</v>
      </c>
      <c r="V54" s="51">
        <v>21000</v>
      </c>
      <c r="W54" s="51">
        <v>23500</v>
      </c>
      <c r="X54" s="68" t="s">
        <v>207</v>
      </c>
      <c r="AB54" s="86"/>
      <c r="AC54" s="86"/>
      <c r="AD54" s="86"/>
      <c r="AE54" s="86"/>
      <c r="AF54" s="86"/>
      <c r="AG54" s="86" t="s">
        <v>112</v>
      </c>
      <c r="AH54" s="87"/>
      <c r="AI54" s="87"/>
      <c r="AJ54" s="87"/>
      <c r="AK54" s="87"/>
      <c r="AL54" s="87">
        <v>1292.3</v>
      </c>
      <c r="AM54" s="87">
        <v>1764.12</v>
      </c>
      <c r="AN54" s="87">
        <v>589.02</v>
      </c>
      <c r="AO54" s="87">
        <v>2195.9699999999998</v>
      </c>
      <c r="AP54" s="87">
        <v>1217.4100000000001</v>
      </c>
      <c r="AQ54" s="87">
        <v>1220.48</v>
      </c>
      <c r="AR54" s="87">
        <v>1228.23</v>
      </c>
      <c r="AS54" s="87">
        <v>1225.46</v>
      </c>
      <c r="AT54" s="87">
        <v>1234.52</v>
      </c>
      <c r="AU54" s="87">
        <v>1839.28</v>
      </c>
      <c r="AV54" s="87">
        <v>1239.45</v>
      </c>
      <c r="AW54" s="87">
        <v>1365.34</v>
      </c>
      <c r="AX54" s="87"/>
      <c r="AY54" s="88">
        <f>ROUND(SUM(AH54:AX54),5)</f>
        <v>16411.580000000002</v>
      </c>
      <c r="AZ54" s="88">
        <v>16100</v>
      </c>
      <c r="BA54" s="88">
        <v>21000</v>
      </c>
      <c r="BB54" s="89" t="s">
        <v>207</v>
      </c>
    </row>
    <row r="55" spans="1:54" ht="15" thickBot="1" x14ac:dyDescent="0.35">
      <c r="A55" s="50"/>
      <c r="B55" s="50"/>
      <c r="C55" s="50"/>
      <c r="D55" s="50"/>
      <c r="E55" s="50"/>
      <c r="F55" s="50"/>
      <c r="G55" s="50" t="s">
        <v>113</v>
      </c>
      <c r="H55" s="52">
        <v>0</v>
      </c>
      <c r="I55" s="52">
        <v>626.04</v>
      </c>
      <c r="J55" s="52">
        <v>-626.04</v>
      </c>
      <c r="K55" s="52">
        <v>0</v>
      </c>
      <c r="L55" s="52">
        <v>0</v>
      </c>
      <c r="M55" s="52">
        <v>0</v>
      </c>
      <c r="N55" s="52">
        <v>0</v>
      </c>
      <c r="O55" s="52">
        <v>0</v>
      </c>
      <c r="P55" s="52">
        <v>0</v>
      </c>
      <c r="Q55" s="52">
        <v>0</v>
      </c>
      <c r="R55" s="52">
        <v>0</v>
      </c>
      <c r="S55" s="52">
        <v>0</v>
      </c>
      <c r="T55" s="52"/>
      <c r="U55" s="52">
        <f>ROUND(SUM(H55:T55),5)</f>
        <v>0</v>
      </c>
      <c r="V55" s="52">
        <v>0</v>
      </c>
      <c r="W55" s="52">
        <v>0</v>
      </c>
      <c r="AB55" s="86"/>
      <c r="AC55" s="86"/>
      <c r="AD55" s="86"/>
      <c r="AE55" s="86"/>
      <c r="AF55" s="86"/>
      <c r="AG55" s="86" t="s">
        <v>113</v>
      </c>
      <c r="AH55" s="90"/>
      <c r="AI55" s="90"/>
      <c r="AJ55" s="90"/>
      <c r="AK55" s="90"/>
      <c r="AL55" s="90">
        <v>126.98</v>
      </c>
      <c r="AM55" s="90">
        <v>589.03</v>
      </c>
      <c r="AN55" s="90">
        <v>-589.03</v>
      </c>
      <c r="AO55" s="90">
        <v>0</v>
      </c>
      <c r="AP55" s="90">
        <v>0</v>
      </c>
      <c r="AQ55" s="90">
        <v>0</v>
      </c>
      <c r="AR55" s="90">
        <v>0</v>
      </c>
      <c r="AS55" s="90">
        <v>0</v>
      </c>
      <c r="AT55" s="90">
        <v>0</v>
      </c>
      <c r="AU55" s="90">
        <v>0</v>
      </c>
      <c r="AV55" s="90">
        <v>0</v>
      </c>
      <c r="AW55" s="90">
        <v>-126.98</v>
      </c>
      <c r="AX55" s="90"/>
      <c r="AY55" s="91">
        <f>ROUND(SUM(AH55:AX55),5)</f>
        <v>0</v>
      </c>
      <c r="AZ55" s="91">
        <v>0</v>
      </c>
      <c r="BA55" s="91">
        <v>0</v>
      </c>
      <c r="BB55" s="92"/>
    </row>
    <row r="56" spans="1:54" x14ac:dyDescent="0.3">
      <c r="A56" s="50"/>
      <c r="B56" s="50"/>
      <c r="C56" s="50"/>
      <c r="D56" s="50"/>
      <c r="E56" s="50"/>
      <c r="F56" s="50" t="s">
        <v>114</v>
      </c>
      <c r="G56" s="50"/>
      <c r="H56" s="51">
        <f t="shared" ref="H56:P56" si="22">ROUND(SUM(H53:H55),5)</f>
        <v>1363.28</v>
      </c>
      <c r="I56" s="51">
        <f t="shared" si="22"/>
        <v>2493.0500000000002</v>
      </c>
      <c r="J56" s="51">
        <f t="shared" si="22"/>
        <v>30.56</v>
      </c>
      <c r="K56" s="51">
        <f t="shared" si="22"/>
        <v>1950.84</v>
      </c>
      <c r="L56" s="51">
        <f t="shared" si="22"/>
        <v>1313.48</v>
      </c>
      <c r="M56" s="51">
        <f t="shared" si="22"/>
        <v>1320.95</v>
      </c>
      <c r="N56" s="51">
        <f t="shared" si="22"/>
        <v>1321.44</v>
      </c>
      <c r="O56" s="51">
        <f t="shared" si="22"/>
        <v>1329.6</v>
      </c>
      <c r="P56" s="51">
        <f t="shared" si="22"/>
        <v>1319.97</v>
      </c>
      <c r="Q56" s="51">
        <f>ROUND(SUM(Q53:Q55),5)</f>
        <v>1985.98</v>
      </c>
      <c r="R56" s="51">
        <f>ROUND(SUM(R53:R55),5)</f>
        <v>1328.89</v>
      </c>
      <c r="S56" s="51">
        <f>ROUND(SUM(S53:S55),5)</f>
        <v>1197.02</v>
      </c>
      <c r="T56" s="51"/>
      <c r="U56" s="51">
        <f>ROUND(SUM(H56:T56),5)</f>
        <v>16955.060000000001</v>
      </c>
      <c r="V56" s="51">
        <f>ROUND(SUM(V53:V55),5)</f>
        <v>21000</v>
      </c>
      <c r="W56" s="51">
        <f>ROUND(SUM(W53:W55),5)</f>
        <v>23500</v>
      </c>
      <c r="AB56" s="86"/>
      <c r="AC56" s="86"/>
      <c r="AD56" s="86"/>
      <c r="AE56" s="86"/>
      <c r="AF56" s="86" t="s">
        <v>114</v>
      </c>
      <c r="AG56" s="86"/>
      <c r="AH56" s="87"/>
      <c r="AI56" s="87"/>
      <c r="AJ56" s="87"/>
      <c r="AK56" s="87"/>
      <c r="AL56" s="87">
        <f t="shared" ref="AL56:AW56" si="23">ROUND(SUM(AL53:AL55),5)</f>
        <v>1419.28</v>
      </c>
      <c r="AM56" s="87">
        <f t="shared" si="23"/>
        <v>2353.15</v>
      </c>
      <c r="AN56" s="87">
        <f t="shared" si="23"/>
        <v>-0.01</v>
      </c>
      <c r="AO56" s="87">
        <f t="shared" si="23"/>
        <v>2195.9699999999998</v>
      </c>
      <c r="AP56" s="87">
        <f t="shared" si="23"/>
        <v>1217.4100000000001</v>
      </c>
      <c r="AQ56" s="87">
        <f t="shared" si="23"/>
        <v>1220.48</v>
      </c>
      <c r="AR56" s="87">
        <f t="shared" si="23"/>
        <v>1228.23</v>
      </c>
      <c r="AS56" s="87">
        <f t="shared" si="23"/>
        <v>1225.46</v>
      </c>
      <c r="AT56" s="87">
        <f t="shared" si="23"/>
        <v>1234.52</v>
      </c>
      <c r="AU56" s="87">
        <f t="shared" si="23"/>
        <v>1839.28</v>
      </c>
      <c r="AV56" s="87">
        <f t="shared" si="23"/>
        <v>1239.45</v>
      </c>
      <c r="AW56" s="87">
        <f t="shared" si="23"/>
        <v>1238.3599999999999</v>
      </c>
      <c r="AX56" s="87"/>
      <c r="AY56" s="88">
        <f>ROUND(SUM(AH56:AX56),5)</f>
        <v>16411.580000000002</v>
      </c>
      <c r="AZ56" s="88">
        <f>ROUND(SUM(AZ53:AZ55),5)</f>
        <v>16100</v>
      </c>
      <c r="BA56" s="88">
        <f>ROUND(SUM(BA53:BA55),5)</f>
        <v>21000</v>
      </c>
      <c r="BB56" s="89"/>
    </row>
    <row r="57" spans="1:54" x14ac:dyDescent="0.3">
      <c r="A57" s="50"/>
      <c r="B57" s="50"/>
      <c r="C57" s="50"/>
      <c r="D57" s="50"/>
      <c r="E57" s="50"/>
      <c r="F57" s="50" t="s">
        <v>115</v>
      </c>
      <c r="G57" s="50"/>
      <c r="H57" s="51"/>
      <c r="I57" s="51"/>
      <c r="J57" s="51"/>
      <c r="K57" s="51"/>
      <c r="L57" s="51"/>
      <c r="M57" s="51"/>
      <c r="N57" s="51"/>
      <c r="O57" s="51"/>
      <c r="P57" s="51"/>
      <c r="Q57" s="51"/>
      <c r="R57" s="51"/>
      <c r="S57" s="51"/>
      <c r="T57" s="51"/>
      <c r="U57" s="51"/>
      <c r="V57" s="51"/>
      <c r="W57" s="51"/>
      <c r="AB57" s="86"/>
      <c r="AC57" s="86"/>
      <c r="AD57" s="86"/>
      <c r="AE57" s="86"/>
      <c r="AF57" s="86" t="s">
        <v>115</v>
      </c>
      <c r="AG57" s="86"/>
      <c r="AH57" s="87"/>
      <c r="AI57" s="87"/>
      <c r="AJ57" s="87"/>
      <c r="AK57" s="87"/>
      <c r="AL57" s="87"/>
      <c r="AM57" s="87"/>
      <c r="AN57" s="87"/>
      <c r="AO57" s="87"/>
      <c r="AP57" s="87"/>
      <c r="AQ57" s="87"/>
      <c r="AR57" s="87"/>
      <c r="AS57" s="87"/>
      <c r="AT57" s="87"/>
      <c r="AU57" s="87"/>
      <c r="AV57" s="87"/>
      <c r="AW57" s="87"/>
      <c r="AX57" s="87"/>
      <c r="AY57" s="88"/>
      <c r="AZ57" s="88"/>
      <c r="BA57" s="88"/>
      <c r="BB57" s="89"/>
    </row>
    <row r="58" spans="1:54" ht="21.6" x14ac:dyDescent="0.3">
      <c r="A58" s="50"/>
      <c r="B58" s="50"/>
      <c r="C58" s="50"/>
      <c r="D58" s="50"/>
      <c r="E58" s="50"/>
      <c r="F58" s="50"/>
      <c r="G58" s="50" t="s">
        <v>116</v>
      </c>
      <c r="H58" s="51">
        <v>543.91</v>
      </c>
      <c r="I58" s="51">
        <v>1118.73</v>
      </c>
      <c r="J58" s="51">
        <v>1323.72</v>
      </c>
      <c r="K58" s="51">
        <v>1471.73</v>
      </c>
      <c r="L58" s="51">
        <v>1019.6</v>
      </c>
      <c r="M58" s="51">
        <v>1547.22</v>
      </c>
      <c r="N58" s="51">
        <v>2208.17</v>
      </c>
      <c r="O58" s="51">
        <v>1186.3499999999999</v>
      </c>
      <c r="P58" s="51">
        <v>1171.55</v>
      </c>
      <c r="Q58" s="51">
        <v>1756.31</v>
      </c>
      <c r="R58" s="51">
        <v>1192.5</v>
      </c>
      <c r="S58" s="51">
        <v>1929.56</v>
      </c>
      <c r="T58" s="51"/>
      <c r="U58" s="51">
        <f>ROUND(SUM(H58:T58),5)</f>
        <v>16469.349999999999</v>
      </c>
      <c r="V58" s="51">
        <v>18771</v>
      </c>
      <c r="W58" s="51">
        <v>21500</v>
      </c>
      <c r="X58" s="68" t="s">
        <v>208</v>
      </c>
      <c r="AB58" s="86"/>
      <c r="AC58" s="86"/>
      <c r="AD58" s="86"/>
      <c r="AE58" s="86"/>
      <c r="AF58" s="86"/>
      <c r="AG58" s="86" t="s">
        <v>116</v>
      </c>
      <c r="AH58" s="87"/>
      <c r="AI58" s="87"/>
      <c r="AJ58" s="87"/>
      <c r="AK58" s="87"/>
      <c r="AL58" s="87">
        <v>559.08000000000004</v>
      </c>
      <c r="AM58" s="87">
        <v>1068.06</v>
      </c>
      <c r="AN58" s="87">
        <v>1141.78</v>
      </c>
      <c r="AO58" s="87">
        <v>1828.14</v>
      </c>
      <c r="AP58" s="87">
        <v>890.47</v>
      </c>
      <c r="AQ58" s="87">
        <v>1187.93</v>
      </c>
      <c r="AR58" s="87">
        <v>1531.32</v>
      </c>
      <c r="AS58" s="87">
        <v>1084.8</v>
      </c>
      <c r="AT58" s="87">
        <v>1092.3599999999999</v>
      </c>
      <c r="AU58" s="87">
        <v>2075.37</v>
      </c>
      <c r="AV58" s="87">
        <v>1667.7</v>
      </c>
      <c r="AW58" s="87">
        <v>1411.65</v>
      </c>
      <c r="AX58" s="87"/>
      <c r="AY58" s="88">
        <f>ROUND(SUM(AH58:AX58),5)</f>
        <v>15538.66</v>
      </c>
      <c r="AZ58" s="88">
        <v>19000</v>
      </c>
      <c r="BA58" s="88">
        <f>ROUND((BA43+BA45+BA46+BA93)*0.062,0)</f>
        <v>18771</v>
      </c>
      <c r="BB58" s="89" t="s">
        <v>208</v>
      </c>
    </row>
    <row r="59" spans="1:54" ht="22.2" thickBot="1" x14ac:dyDescent="0.35">
      <c r="A59" s="50"/>
      <c r="B59" s="50"/>
      <c r="C59" s="50"/>
      <c r="D59" s="50"/>
      <c r="E59" s="50"/>
      <c r="F59" s="50"/>
      <c r="G59" s="50" t="s">
        <v>117</v>
      </c>
      <c r="H59" s="52">
        <v>127.2</v>
      </c>
      <c r="I59" s="52">
        <v>261.66000000000003</v>
      </c>
      <c r="J59" s="52">
        <v>309.60000000000002</v>
      </c>
      <c r="K59" s="52">
        <v>344.23</v>
      </c>
      <c r="L59" s="52">
        <v>238.47</v>
      </c>
      <c r="M59" s="52">
        <v>361.87</v>
      </c>
      <c r="N59" s="52">
        <v>516.42999999999995</v>
      </c>
      <c r="O59" s="52">
        <v>277.47000000000003</v>
      </c>
      <c r="P59" s="52">
        <v>274.01</v>
      </c>
      <c r="Q59" s="52">
        <v>410.79</v>
      </c>
      <c r="R59" s="52">
        <v>278.92</v>
      </c>
      <c r="S59" s="52">
        <v>451.33</v>
      </c>
      <c r="T59" s="52"/>
      <c r="U59" s="52">
        <f>ROUND(SUM(H59:T59),5)</f>
        <v>3851.98</v>
      </c>
      <c r="V59" s="52">
        <v>4390</v>
      </c>
      <c r="W59" s="52">
        <v>5000</v>
      </c>
      <c r="X59" s="68" t="s">
        <v>208</v>
      </c>
      <c r="AB59" s="86"/>
      <c r="AC59" s="86"/>
      <c r="AD59" s="86"/>
      <c r="AE59" s="86"/>
      <c r="AF59" s="86"/>
      <c r="AG59" s="86" t="s">
        <v>117</v>
      </c>
      <c r="AH59" s="90"/>
      <c r="AI59" s="90"/>
      <c r="AJ59" s="90"/>
      <c r="AK59" s="90"/>
      <c r="AL59" s="90">
        <v>130.76</v>
      </c>
      <c r="AM59" s="90">
        <v>249.81</v>
      </c>
      <c r="AN59" s="90">
        <v>267.06</v>
      </c>
      <c r="AO59" s="90">
        <v>427.6</v>
      </c>
      <c r="AP59" s="90">
        <v>208.26</v>
      </c>
      <c r="AQ59" s="90">
        <v>277.83999999999997</v>
      </c>
      <c r="AR59" s="90">
        <v>358.11</v>
      </c>
      <c r="AS59" s="90">
        <v>253.72</v>
      </c>
      <c r="AT59" s="90">
        <v>255.51</v>
      </c>
      <c r="AU59" s="90">
        <v>485.42</v>
      </c>
      <c r="AV59" s="90">
        <v>390.03</v>
      </c>
      <c r="AW59" s="90">
        <v>330.2</v>
      </c>
      <c r="AX59" s="90"/>
      <c r="AY59" s="91">
        <f>ROUND(SUM(AH59:AX59),5)</f>
        <v>3634.32</v>
      </c>
      <c r="AZ59" s="91">
        <v>4000</v>
      </c>
      <c r="BA59" s="91">
        <f>ROUND((BA43+BA45+BA46+BA93)*0.0145,0)</f>
        <v>4390</v>
      </c>
      <c r="BB59" s="92" t="s">
        <v>208</v>
      </c>
    </row>
    <row r="60" spans="1:54" x14ac:dyDescent="0.3">
      <c r="A60" s="50"/>
      <c r="B60" s="50"/>
      <c r="C60" s="50"/>
      <c r="D60" s="50"/>
      <c r="E60" s="50"/>
      <c r="F60" s="50" t="s">
        <v>118</v>
      </c>
      <c r="G60" s="50"/>
      <c r="H60" s="51">
        <f t="shared" ref="H60:P60" si="24">ROUND(SUM(H57:H59),5)</f>
        <v>671.11</v>
      </c>
      <c r="I60" s="51">
        <f t="shared" si="24"/>
        <v>1380.39</v>
      </c>
      <c r="J60" s="51">
        <f t="shared" si="24"/>
        <v>1633.32</v>
      </c>
      <c r="K60" s="51">
        <f t="shared" si="24"/>
        <v>1815.96</v>
      </c>
      <c r="L60" s="51">
        <f t="shared" si="24"/>
        <v>1258.07</v>
      </c>
      <c r="M60" s="51">
        <f t="shared" si="24"/>
        <v>1909.09</v>
      </c>
      <c r="N60" s="51">
        <f t="shared" si="24"/>
        <v>2724.6</v>
      </c>
      <c r="O60" s="51">
        <f t="shared" si="24"/>
        <v>1463.82</v>
      </c>
      <c r="P60" s="51">
        <f t="shared" si="24"/>
        <v>1445.56</v>
      </c>
      <c r="Q60" s="51">
        <f>ROUND(SUM(Q57:Q59),5)</f>
        <v>2167.1</v>
      </c>
      <c r="R60" s="51">
        <f>ROUND(SUM(R57:R59),5)</f>
        <v>1471.42</v>
      </c>
      <c r="S60" s="51">
        <f>ROUND(SUM(S57:S59),5)</f>
        <v>2380.89</v>
      </c>
      <c r="T60" s="51"/>
      <c r="U60" s="51">
        <f>ROUND(SUM(H60:T60),5)</f>
        <v>20321.330000000002</v>
      </c>
      <c r="V60" s="51">
        <f>ROUND(SUM(V57:V59),5)</f>
        <v>23161</v>
      </c>
      <c r="W60" s="51">
        <f>ROUND(SUM(W57:W59),5)</f>
        <v>26500</v>
      </c>
      <c r="AB60" s="86"/>
      <c r="AC60" s="86"/>
      <c r="AD60" s="86"/>
      <c r="AE60" s="86"/>
      <c r="AF60" s="86" t="s">
        <v>118</v>
      </c>
      <c r="AG60" s="86"/>
      <c r="AH60" s="87"/>
      <c r="AI60" s="87"/>
      <c r="AJ60" s="87"/>
      <c r="AK60" s="87"/>
      <c r="AL60" s="87">
        <f t="shared" ref="AL60:AW60" si="25">ROUND(SUM(AL57:AL59),5)</f>
        <v>689.84</v>
      </c>
      <c r="AM60" s="87">
        <f t="shared" si="25"/>
        <v>1317.87</v>
      </c>
      <c r="AN60" s="87">
        <f t="shared" si="25"/>
        <v>1408.84</v>
      </c>
      <c r="AO60" s="87">
        <f t="shared" si="25"/>
        <v>2255.7399999999998</v>
      </c>
      <c r="AP60" s="87">
        <f t="shared" si="25"/>
        <v>1098.73</v>
      </c>
      <c r="AQ60" s="87">
        <f t="shared" si="25"/>
        <v>1465.77</v>
      </c>
      <c r="AR60" s="87">
        <f t="shared" si="25"/>
        <v>1889.43</v>
      </c>
      <c r="AS60" s="87">
        <f t="shared" si="25"/>
        <v>1338.52</v>
      </c>
      <c r="AT60" s="87">
        <f t="shared" si="25"/>
        <v>1347.87</v>
      </c>
      <c r="AU60" s="87">
        <f t="shared" si="25"/>
        <v>2560.79</v>
      </c>
      <c r="AV60" s="87">
        <f t="shared" si="25"/>
        <v>2057.73</v>
      </c>
      <c r="AW60" s="87">
        <f t="shared" si="25"/>
        <v>1741.85</v>
      </c>
      <c r="AX60" s="87"/>
      <c r="AY60" s="88">
        <f>ROUND(SUM(AH60:AX60),5)</f>
        <v>19172.98</v>
      </c>
      <c r="AZ60" s="88">
        <f>ROUND(SUM(AZ57:AZ59),5)</f>
        <v>23000</v>
      </c>
      <c r="BA60" s="88">
        <f>ROUND(SUM(BA57:BA59),5)</f>
        <v>23161</v>
      </c>
      <c r="BB60" s="89"/>
    </row>
    <row r="61" spans="1:54" x14ac:dyDescent="0.3">
      <c r="A61" s="50"/>
      <c r="B61" s="50"/>
      <c r="C61" s="50"/>
      <c r="D61" s="50"/>
      <c r="E61" s="50"/>
      <c r="F61" s="50" t="s">
        <v>119</v>
      </c>
      <c r="G61" s="50"/>
      <c r="H61" s="51"/>
      <c r="I61" s="51"/>
      <c r="J61" s="51"/>
      <c r="K61" s="51"/>
      <c r="L61" s="51"/>
      <c r="M61" s="51"/>
      <c r="N61" s="51"/>
      <c r="O61" s="51"/>
      <c r="P61" s="51"/>
      <c r="Q61" s="51"/>
      <c r="R61" s="51"/>
      <c r="S61" s="51"/>
      <c r="T61" s="51"/>
      <c r="U61" s="51"/>
      <c r="V61" s="51"/>
      <c r="W61" s="51"/>
      <c r="AB61" s="86"/>
      <c r="AC61" s="86"/>
      <c r="AD61" s="86"/>
      <c r="AE61" s="86"/>
      <c r="AF61" s="86" t="s">
        <v>119</v>
      </c>
      <c r="AG61" s="86"/>
      <c r="AH61" s="87"/>
      <c r="AI61" s="87"/>
      <c r="AJ61" s="87"/>
      <c r="AK61" s="87"/>
      <c r="AL61" s="87"/>
      <c r="AM61" s="87"/>
      <c r="AN61" s="87"/>
      <c r="AO61" s="87"/>
      <c r="AP61" s="87"/>
      <c r="AQ61" s="87"/>
      <c r="AR61" s="87"/>
      <c r="AS61" s="87"/>
      <c r="AT61" s="87"/>
      <c r="AU61" s="87"/>
      <c r="AV61" s="87"/>
      <c r="AW61" s="87"/>
      <c r="AX61" s="87"/>
      <c r="AY61" s="88"/>
      <c r="AZ61" s="88"/>
      <c r="BA61" s="88"/>
      <c r="BB61" s="89"/>
    </row>
    <row r="62" spans="1:54" x14ac:dyDescent="0.3">
      <c r="A62" s="50"/>
      <c r="B62" s="50"/>
      <c r="C62" s="50"/>
      <c r="D62" s="50"/>
      <c r="E62" s="50"/>
      <c r="F62" s="50"/>
      <c r="G62" s="50" t="s">
        <v>120</v>
      </c>
      <c r="H62" s="51">
        <v>7851.47</v>
      </c>
      <c r="I62" s="51">
        <v>3925.93</v>
      </c>
      <c r="J62" s="51">
        <v>0</v>
      </c>
      <c r="K62" s="51">
        <v>3925.93</v>
      </c>
      <c r="L62" s="51">
        <v>3254.42</v>
      </c>
      <c r="M62" s="51">
        <v>3254.42</v>
      </c>
      <c r="N62" s="51">
        <v>3379.51</v>
      </c>
      <c r="O62" s="51">
        <v>3379.51</v>
      </c>
      <c r="P62" s="51">
        <v>3379.51</v>
      </c>
      <c r="Q62" s="51">
        <v>3379.51</v>
      </c>
      <c r="R62" s="51">
        <v>3379.51</v>
      </c>
      <c r="S62" s="51">
        <v>3379.51</v>
      </c>
      <c r="T62" s="51"/>
      <c r="U62" s="51">
        <f>ROUND(SUM(H62:T62),5)</f>
        <v>42489.23</v>
      </c>
      <c r="V62" s="67">
        <v>60000</v>
      </c>
      <c r="W62" s="67">
        <v>50000</v>
      </c>
      <c r="X62" s="68" t="s">
        <v>207</v>
      </c>
      <c r="AB62" s="86"/>
      <c r="AC62" s="86"/>
      <c r="AD62" s="86"/>
      <c r="AE62" s="86"/>
      <c r="AF62" s="86"/>
      <c r="AG62" s="86" t="s">
        <v>120</v>
      </c>
      <c r="AH62" s="87"/>
      <c r="AI62" s="87"/>
      <c r="AJ62" s="87"/>
      <c r="AK62" s="87"/>
      <c r="AL62" s="87">
        <v>3878.65</v>
      </c>
      <c r="AM62" s="87">
        <v>3212.66</v>
      </c>
      <c r="AN62" s="87">
        <v>0</v>
      </c>
      <c r="AO62" s="87">
        <v>3212.66</v>
      </c>
      <c r="AP62" s="87">
        <v>3212.66</v>
      </c>
      <c r="AQ62" s="87">
        <v>3212.66</v>
      </c>
      <c r="AR62" s="87">
        <v>3254.09</v>
      </c>
      <c r="AS62" s="87">
        <v>3254.09</v>
      </c>
      <c r="AT62" s="87">
        <v>4596.99</v>
      </c>
      <c r="AU62" s="87">
        <v>3925.54</v>
      </c>
      <c r="AV62" s="87">
        <v>5212.17</v>
      </c>
      <c r="AW62" s="87">
        <v>8800.1</v>
      </c>
      <c r="AX62" s="87"/>
      <c r="AY62" s="88">
        <f>ROUND(SUM(AH62:AX62),5)</f>
        <v>45772.27</v>
      </c>
      <c r="AZ62" s="88">
        <v>60000</v>
      </c>
      <c r="BA62" s="88">
        <v>60000</v>
      </c>
      <c r="BB62" s="89" t="s">
        <v>207</v>
      </c>
    </row>
    <row r="63" spans="1:54" x14ac:dyDescent="0.3">
      <c r="A63" s="50"/>
      <c r="B63" s="50"/>
      <c r="C63" s="50"/>
      <c r="D63" s="50"/>
      <c r="E63" s="50"/>
      <c r="F63" s="50"/>
      <c r="G63" s="50" t="s">
        <v>121</v>
      </c>
      <c r="H63" s="51">
        <v>147.69</v>
      </c>
      <c r="I63" s="51">
        <v>0</v>
      </c>
      <c r="J63" s="51">
        <v>0</v>
      </c>
      <c r="K63" s="51">
        <v>49.23</v>
      </c>
      <c r="L63" s="51">
        <v>71.760000000000005</v>
      </c>
      <c r="M63" s="51">
        <v>80.66</v>
      </c>
      <c r="N63" s="51">
        <v>40.33</v>
      </c>
      <c r="O63" s="51">
        <v>0</v>
      </c>
      <c r="P63" s="51">
        <v>80.66</v>
      </c>
      <c r="Q63" s="51">
        <v>0</v>
      </c>
      <c r="R63" s="51">
        <v>49.23</v>
      </c>
      <c r="S63" s="51">
        <v>65.28</v>
      </c>
      <c r="T63" s="51"/>
      <c r="U63" s="51">
        <f>ROUND(SUM(H63:T63),5)</f>
        <v>584.84</v>
      </c>
      <c r="V63" s="67">
        <v>1000</v>
      </c>
      <c r="W63" s="67">
        <v>800</v>
      </c>
      <c r="X63" s="68" t="s">
        <v>207</v>
      </c>
      <c r="AB63" s="86"/>
      <c r="AC63" s="86"/>
      <c r="AD63" s="86"/>
      <c r="AE63" s="86"/>
      <c r="AF63" s="86"/>
      <c r="AG63" s="86" t="s">
        <v>121</v>
      </c>
      <c r="AH63" s="87"/>
      <c r="AI63" s="87"/>
      <c r="AJ63" s="87"/>
      <c r="AK63" s="87"/>
      <c r="AL63" s="87">
        <v>46.72</v>
      </c>
      <c r="AM63" s="87">
        <v>40.33</v>
      </c>
      <c r="AN63" s="87">
        <v>40.33</v>
      </c>
      <c r="AO63" s="87">
        <v>40.33</v>
      </c>
      <c r="AP63" s="87">
        <v>40.33</v>
      </c>
      <c r="AQ63" s="87">
        <v>40.33</v>
      </c>
      <c r="AR63" s="87">
        <v>49.23</v>
      </c>
      <c r="AS63" s="87">
        <v>0</v>
      </c>
      <c r="AT63" s="87">
        <v>98.46</v>
      </c>
      <c r="AU63" s="87">
        <v>49.23</v>
      </c>
      <c r="AV63" s="87">
        <v>65.28</v>
      </c>
      <c r="AW63" s="87">
        <v>112</v>
      </c>
      <c r="AX63" s="87"/>
      <c r="AY63" s="88">
        <f>ROUND(SUM(AH63:AX63),5)</f>
        <v>622.57000000000005</v>
      </c>
      <c r="AZ63" s="88">
        <v>850</v>
      </c>
      <c r="BA63" s="88">
        <v>1000</v>
      </c>
      <c r="BB63" s="89" t="s">
        <v>207</v>
      </c>
    </row>
    <row r="64" spans="1:54" ht="15" thickBot="1" x14ac:dyDescent="0.35">
      <c r="A64" s="50"/>
      <c r="B64" s="50"/>
      <c r="C64" s="50"/>
      <c r="D64" s="50"/>
      <c r="E64" s="50"/>
      <c r="F64" s="50"/>
      <c r="G64" s="50" t="s">
        <v>122</v>
      </c>
      <c r="H64" s="52">
        <v>664.72</v>
      </c>
      <c r="I64" s="52">
        <v>332.36</v>
      </c>
      <c r="J64" s="52">
        <v>272.48</v>
      </c>
      <c r="K64" s="52">
        <v>272.48</v>
      </c>
      <c r="L64" s="52">
        <v>272.48</v>
      </c>
      <c r="M64" s="52">
        <v>0</v>
      </c>
      <c r="N64" s="52">
        <v>544.96</v>
      </c>
      <c r="O64" s="52">
        <v>0</v>
      </c>
      <c r="P64" s="52">
        <v>558.6</v>
      </c>
      <c r="Q64" s="52">
        <v>286.12</v>
      </c>
      <c r="R64" s="52">
        <v>286.12</v>
      </c>
      <c r="S64" s="52">
        <v>286.12</v>
      </c>
      <c r="T64" s="52"/>
      <c r="U64" s="52">
        <f>ROUND(SUM(H64:T64),5)</f>
        <v>3776.44</v>
      </c>
      <c r="V64" s="69">
        <v>3800</v>
      </c>
      <c r="W64" s="69">
        <v>3200</v>
      </c>
      <c r="X64" s="68" t="s">
        <v>207</v>
      </c>
      <c r="AB64" s="86"/>
      <c r="AC64" s="86"/>
      <c r="AD64" s="86"/>
      <c r="AE64" s="86"/>
      <c r="AF64" s="86"/>
      <c r="AG64" s="86" t="s">
        <v>122</v>
      </c>
      <c r="AH64" s="90"/>
      <c r="AI64" s="90"/>
      <c r="AJ64" s="90"/>
      <c r="AK64" s="90"/>
      <c r="AL64" s="90">
        <v>332.36</v>
      </c>
      <c r="AM64" s="90">
        <v>272.48</v>
      </c>
      <c r="AN64" s="90">
        <v>272.48</v>
      </c>
      <c r="AO64" s="90">
        <v>272.48</v>
      </c>
      <c r="AP64" s="90">
        <v>272.48</v>
      </c>
      <c r="AQ64" s="90">
        <v>272.48</v>
      </c>
      <c r="AR64" s="90">
        <v>332.36</v>
      </c>
      <c r="AS64" s="90">
        <v>0</v>
      </c>
      <c r="AT64" s="90">
        <v>664.72</v>
      </c>
      <c r="AU64" s="90">
        <v>332.36</v>
      </c>
      <c r="AV64" s="90">
        <v>447.04</v>
      </c>
      <c r="AW64" s="90">
        <v>429.76</v>
      </c>
      <c r="AX64" s="90"/>
      <c r="AY64" s="91">
        <f>ROUND(SUM(AH64:AX64),5)</f>
        <v>3901</v>
      </c>
      <c r="AZ64" s="91">
        <v>4100</v>
      </c>
      <c r="BA64" s="91">
        <v>3800</v>
      </c>
      <c r="BB64" s="92" t="s">
        <v>207</v>
      </c>
    </row>
    <row r="65" spans="1:54" x14ac:dyDescent="0.3">
      <c r="A65" s="50"/>
      <c r="B65" s="50"/>
      <c r="C65" s="50"/>
      <c r="D65" s="50"/>
      <c r="E65" s="50"/>
      <c r="F65" s="50" t="s">
        <v>123</v>
      </c>
      <c r="G65" s="50"/>
      <c r="H65" s="51">
        <f t="shared" ref="H65:P65" si="26">ROUND(SUM(H61:H64),5)</f>
        <v>8663.8799999999992</v>
      </c>
      <c r="I65" s="51">
        <f t="shared" si="26"/>
        <v>4258.29</v>
      </c>
      <c r="J65" s="51">
        <f t="shared" si="26"/>
        <v>272.48</v>
      </c>
      <c r="K65" s="51">
        <f t="shared" si="26"/>
        <v>4247.6400000000003</v>
      </c>
      <c r="L65" s="51">
        <f t="shared" si="26"/>
        <v>3598.66</v>
      </c>
      <c r="M65" s="51">
        <f t="shared" si="26"/>
        <v>3335.08</v>
      </c>
      <c r="N65" s="51">
        <f t="shared" si="26"/>
        <v>3964.8</v>
      </c>
      <c r="O65" s="51">
        <f t="shared" si="26"/>
        <v>3379.51</v>
      </c>
      <c r="P65" s="51">
        <f t="shared" si="26"/>
        <v>4018.77</v>
      </c>
      <c r="Q65" s="51">
        <f>ROUND(SUM(Q61:Q64),5)</f>
        <v>3665.63</v>
      </c>
      <c r="R65" s="51">
        <f>ROUND(SUM(R61:R64),5)</f>
        <v>3714.86</v>
      </c>
      <c r="S65" s="51">
        <f>ROUND(SUM(S61:S64),5)</f>
        <v>3730.91</v>
      </c>
      <c r="T65" s="51"/>
      <c r="U65" s="51">
        <f>ROUND(SUM(H65:T65),5)</f>
        <v>46850.51</v>
      </c>
      <c r="V65" s="51">
        <f>ROUND(SUM(V61:V64),5)</f>
        <v>64800</v>
      </c>
      <c r="W65" s="51">
        <f>ROUND(SUM(W61:W64),5)</f>
        <v>54000</v>
      </c>
      <c r="AB65" s="86"/>
      <c r="AC65" s="86"/>
      <c r="AD65" s="86"/>
      <c r="AE65" s="86"/>
      <c r="AF65" s="86" t="s">
        <v>123</v>
      </c>
      <c r="AG65" s="86"/>
      <c r="AH65" s="87"/>
      <c r="AI65" s="87"/>
      <c r="AJ65" s="87"/>
      <c r="AK65" s="87"/>
      <c r="AL65" s="87">
        <f t="shared" ref="AL65:AW65" si="27">ROUND(SUM(AL61:AL64),5)</f>
        <v>4257.7299999999996</v>
      </c>
      <c r="AM65" s="87">
        <f t="shared" si="27"/>
        <v>3525.47</v>
      </c>
      <c r="AN65" s="87">
        <f t="shared" si="27"/>
        <v>312.81</v>
      </c>
      <c r="AO65" s="87">
        <f t="shared" si="27"/>
        <v>3525.47</v>
      </c>
      <c r="AP65" s="87">
        <f t="shared" si="27"/>
        <v>3525.47</v>
      </c>
      <c r="AQ65" s="87">
        <f t="shared" si="27"/>
        <v>3525.47</v>
      </c>
      <c r="AR65" s="87">
        <f t="shared" si="27"/>
        <v>3635.68</v>
      </c>
      <c r="AS65" s="87">
        <f t="shared" si="27"/>
        <v>3254.09</v>
      </c>
      <c r="AT65" s="87">
        <f t="shared" si="27"/>
        <v>5360.17</v>
      </c>
      <c r="AU65" s="87">
        <f t="shared" si="27"/>
        <v>4307.13</v>
      </c>
      <c r="AV65" s="87">
        <f t="shared" si="27"/>
        <v>5724.49</v>
      </c>
      <c r="AW65" s="87">
        <f t="shared" si="27"/>
        <v>9341.86</v>
      </c>
      <c r="AX65" s="87"/>
      <c r="AY65" s="88">
        <f>ROUND(SUM(AH65:AX65),5)</f>
        <v>50295.839999999997</v>
      </c>
      <c r="AZ65" s="88">
        <f>ROUND(SUM(AZ61:AZ64),5)</f>
        <v>64950</v>
      </c>
      <c r="BA65" s="88">
        <f>ROUND(SUM(BA61:BA64),5)</f>
        <v>64800</v>
      </c>
      <c r="BB65" s="89"/>
    </row>
    <row r="66" spans="1:54" x14ac:dyDescent="0.3">
      <c r="A66" s="50"/>
      <c r="B66" s="50"/>
      <c r="C66" s="50"/>
      <c r="D66" s="50"/>
      <c r="E66" s="50"/>
      <c r="F66" s="50" t="s">
        <v>124</v>
      </c>
      <c r="G66" s="50"/>
      <c r="H66" s="51"/>
      <c r="I66" s="51"/>
      <c r="J66" s="51"/>
      <c r="K66" s="51"/>
      <c r="L66" s="51"/>
      <c r="M66" s="51"/>
      <c r="N66" s="51"/>
      <c r="O66" s="51"/>
      <c r="P66" s="51"/>
      <c r="Q66" s="51"/>
      <c r="R66" s="51"/>
      <c r="S66" s="51"/>
      <c r="T66" s="51"/>
      <c r="U66" s="51"/>
      <c r="V66" s="51"/>
      <c r="W66" s="51"/>
      <c r="AB66" s="86"/>
      <c r="AC66" s="86"/>
      <c r="AD66" s="86"/>
      <c r="AE66" s="86"/>
      <c r="AF66" s="86" t="s">
        <v>124</v>
      </c>
      <c r="AG66" s="86"/>
      <c r="AH66" s="87"/>
      <c r="AI66" s="87"/>
      <c r="AJ66" s="87"/>
      <c r="AK66" s="87"/>
      <c r="AL66" s="87"/>
      <c r="AM66" s="87"/>
      <c r="AN66" s="87"/>
      <c r="AO66" s="87"/>
      <c r="AP66" s="87"/>
      <c r="AQ66" s="87"/>
      <c r="AR66" s="87"/>
      <c r="AS66" s="87"/>
      <c r="AT66" s="87"/>
      <c r="AU66" s="87"/>
      <c r="AV66" s="87"/>
      <c r="AW66" s="87"/>
      <c r="AX66" s="87"/>
      <c r="AY66" s="88"/>
      <c r="AZ66" s="88"/>
      <c r="BA66" s="88"/>
      <c r="BB66" s="89"/>
    </row>
    <row r="67" spans="1:54" ht="31.8" x14ac:dyDescent="0.3">
      <c r="A67" s="50"/>
      <c r="B67" s="50"/>
      <c r="C67" s="50"/>
      <c r="D67" s="50"/>
      <c r="E67" s="50"/>
      <c r="F67" s="50"/>
      <c r="G67" s="50" t="s">
        <v>125</v>
      </c>
      <c r="H67" s="51">
        <v>920.16</v>
      </c>
      <c r="I67" s="51">
        <v>2249.3000000000002</v>
      </c>
      <c r="J67" s="51">
        <v>920.16</v>
      </c>
      <c r="K67" s="51">
        <v>920.16</v>
      </c>
      <c r="L67" s="51">
        <v>920.16</v>
      </c>
      <c r="M67" s="51">
        <v>920.16</v>
      </c>
      <c r="N67" s="51">
        <v>920.16</v>
      </c>
      <c r="O67" s="51">
        <v>920.16</v>
      </c>
      <c r="P67" s="51">
        <v>920.16</v>
      </c>
      <c r="Q67" s="51">
        <v>920.16</v>
      </c>
      <c r="R67" s="51">
        <v>920.16</v>
      </c>
      <c r="S67" s="51">
        <v>1042.3499999999999</v>
      </c>
      <c r="T67" s="51"/>
      <c r="U67" s="51">
        <f>ROUND(SUM(H67:T67),5)</f>
        <v>12493.25</v>
      </c>
      <c r="V67" s="67">
        <v>22000</v>
      </c>
      <c r="W67" s="67">
        <v>22000</v>
      </c>
      <c r="X67" s="68" t="s">
        <v>256</v>
      </c>
      <c r="AB67" s="86"/>
      <c r="AC67" s="86"/>
      <c r="AD67" s="86"/>
      <c r="AE67" s="86"/>
      <c r="AF67" s="86"/>
      <c r="AG67" s="86" t="s">
        <v>125</v>
      </c>
      <c r="AH67" s="87"/>
      <c r="AI67" s="87"/>
      <c r="AJ67" s="87"/>
      <c r="AK67" s="87"/>
      <c r="AL67" s="87">
        <v>1042.3699999999999</v>
      </c>
      <c r="AM67" s="87">
        <v>1042.3699999999999</v>
      </c>
      <c r="AN67" s="87">
        <v>3266.71</v>
      </c>
      <c r="AO67" s="87">
        <v>1042.3699999999999</v>
      </c>
      <c r="AP67" s="87">
        <v>1042.3699999999999</v>
      </c>
      <c r="AQ67" s="87">
        <v>1042.3699999999999</v>
      </c>
      <c r="AR67" s="87">
        <v>1042.3699999999999</v>
      </c>
      <c r="AS67" s="87">
        <v>1042.3699999999999</v>
      </c>
      <c r="AT67" s="87">
        <v>1042.3699999999999</v>
      </c>
      <c r="AU67" s="87">
        <v>1042.3699999999999</v>
      </c>
      <c r="AV67" s="87">
        <v>1590.57</v>
      </c>
      <c r="AW67" s="87">
        <v>1590.51</v>
      </c>
      <c r="AX67" s="87"/>
      <c r="AY67" s="88">
        <f>ROUND(SUM(AH67:AX67),5)</f>
        <v>15829.12</v>
      </c>
      <c r="AZ67" s="88">
        <v>17000</v>
      </c>
      <c r="BA67" s="88">
        <v>22000</v>
      </c>
      <c r="BB67" s="89" t="s">
        <v>256</v>
      </c>
    </row>
    <row r="68" spans="1:54" x14ac:dyDescent="0.3">
      <c r="A68" s="50"/>
      <c r="B68" s="50"/>
      <c r="C68" s="50"/>
      <c r="D68" s="50"/>
      <c r="E68" s="50"/>
      <c r="F68" s="50"/>
      <c r="G68" s="50" t="s">
        <v>199</v>
      </c>
      <c r="H68" s="51">
        <v>0</v>
      </c>
      <c r="I68" s="51">
        <v>0</v>
      </c>
      <c r="J68" s="51">
        <v>0</v>
      </c>
      <c r="K68" s="51">
        <v>0</v>
      </c>
      <c r="L68" s="51">
        <v>0</v>
      </c>
      <c r="M68" s="51">
        <v>0</v>
      </c>
      <c r="N68" s="51">
        <v>0</v>
      </c>
      <c r="O68" s="51">
        <v>0</v>
      </c>
      <c r="P68" s="51">
        <v>0</v>
      </c>
      <c r="Q68" s="51">
        <v>0</v>
      </c>
      <c r="R68" s="51">
        <v>0</v>
      </c>
      <c r="S68" s="51">
        <v>0</v>
      </c>
      <c r="T68" s="51">
        <v>0</v>
      </c>
      <c r="U68" s="51">
        <v>0</v>
      </c>
      <c r="V68" s="67">
        <v>1600</v>
      </c>
      <c r="W68" s="67">
        <v>1500</v>
      </c>
      <c r="AB68" s="86"/>
      <c r="AC68" s="86"/>
      <c r="AD68" s="86"/>
      <c r="AE68" s="86"/>
      <c r="AF68" s="86"/>
      <c r="AG68" s="86" t="s">
        <v>199</v>
      </c>
      <c r="AH68" s="87"/>
      <c r="AI68" s="87"/>
      <c r="AJ68" s="87"/>
      <c r="AK68" s="87"/>
      <c r="AL68" s="87">
        <v>0</v>
      </c>
      <c r="AM68" s="87">
        <v>0</v>
      </c>
      <c r="AN68" s="87">
        <v>0</v>
      </c>
      <c r="AO68" s="87">
        <v>0</v>
      </c>
      <c r="AP68" s="87">
        <v>0</v>
      </c>
      <c r="AQ68" s="87">
        <v>0</v>
      </c>
      <c r="AR68" s="87">
        <v>0</v>
      </c>
      <c r="AS68" s="87">
        <v>0</v>
      </c>
      <c r="AT68" s="87">
        <v>0</v>
      </c>
      <c r="AU68" s="87">
        <v>0</v>
      </c>
      <c r="AV68" s="87">
        <v>0</v>
      </c>
      <c r="AW68" s="87">
        <v>0</v>
      </c>
      <c r="AX68" s="87"/>
      <c r="AY68" s="88">
        <f>ROUND(SUM(AH68:AX68),5)</f>
        <v>0</v>
      </c>
      <c r="AZ68" s="88">
        <v>1600</v>
      </c>
      <c r="BA68" s="88">
        <v>1600</v>
      </c>
      <c r="BB68" s="89"/>
    </row>
    <row r="69" spans="1:54" ht="15" thickBot="1" x14ac:dyDescent="0.35">
      <c r="A69" s="50"/>
      <c r="B69" s="50"/>
      <c r="C69" s="50"/>
      <c r="D69" s="50"/>
      <c r="E69" s="50"/>
      <c r="F69" s="50"/>
      <c r="G69" s="50" t="s">
        <v>126</v>
      </c>
      <c r="H69" s="51">
        <v>0.75</v>
      </c>
      <c r="I69" s="51">
        <v>22.5</v>
      </c>
      <c r="J69" s="51">
        <v>22.5</v>
      </c>
      <c r="K69" s="51">
        <v>22.5</v>
      </c>
      <c r="L69" s="51">
        <v>25.85</v>
      </c>
      <c r="M69" s="51">
        <v>94.84</v>
      </c>
      <c r="N69" s="51">
        <v>477</v>
      </c>
      <c r="O69" s="51">
        <v>266.7</v>
      </c>
      <c r="P69" s="51">
        <v>140.5</v>
      </c>
      <c r="Q69" s="51">
        <v>23.32</v>
      </c>
      <c r="R69" s="51">
        <v>22.5</v>
      </c>
      <c r="S69" s="51">
        <v>44.25</v>
      </c>
      <c r="T69" s="51"/>
      <c r="U69" s="51">
        <f>ROUND(SUM(H69:T69),5)</f>
        <v>1163.21</v>
      </c>
      <c r="V69" s="67">
        <v>2000</v>
      </c>
      <c r="W69" s="67">
        <v>2000</v>
      </c>
      <c r="AB69" s="86"/>
      <c r="AC69" s="86"/>
      <c r="AD69" s="86"/>
      <c r="AE69" s="86"/>
      <c r="AF69" s="86"/>
      <c r="AG69" s="86" t="s">
        <v>126</v>
      </c>
      <c r="AH69" s="87"/>
      <c r="AI69" s="87"/>
      <c r="AJ69" s="87"/>
      <c r="AK69" s="87"/>
      <c r="AL69" s="87">
        <v>3.07</v>
      </c>
      <c r="AM69" s="87">
        <v>24</v>
      </c>
      <c r="AN69" s="87">
        <v>24</v>
      </c>
      <c r="AO69" s="87">
        <v>48</v>
      </c>
      <c r="AP69" s="87">
        <v>0</v>
      </c>
      <c r="AQ69" s="87">
        <v>24</v>
      </c>
      <c r="AR69" s="87">
        <v>426.54</v>
      </c>
      <c r="AS69" s="87">
        <v>254.93</v>
      </c>
      <c r="AT69" s="87">
        <v>153.99</v>
      </c>
      <c r="AU69" s="87">
        <v>94.54</v>
      </c>
      <c r="AV69" s="87">
        <v>0</v>
      </c>
      <c r="AW69" s="87">
        <v>44.93</v>
      </c>
      <c r="AX69" s="87"/>
      <c r="AY69" s="88">
        <f>ROUND(SUM(AH69:AX69),5)</f>
        <v>1098</v>
      </c>
      <c r="AZ69" s="88">
        <v>2000</v>
      </c>
      <c r="BA69" s="88">
        <v>2000</v>
      </c>
      <c r="BB69" s="89"/>
    </row>
    <row r="70" spans="1:54" ht="15" thickBot="1" x14ac:dyDescent="0.35">
      <c r="A70" s="50"/>
      <c r="B70" s="50"/>
      <c r="C70" s="50"/>
      <c r="D70" s="50"/>
      <c r="E70" s="50"/>
      <c r="F70" s="50" t="s">
        <v>127</v>
      </c>
      <c r="G70" s="50"/>
      <c r="H70" s="53">
        <f t="shared" ref="H70:S70" si="28">ROUND(SUM(H66:H69),5)</f>
        <v>920.91</v>
      </c>
      <c r="I70" s="53">
        <f t="shared" si="28"/>
        <v>2271.8000000000002</v>
      </c>
      <c r="J70" s="53">
        <f t="shared" si="28"/>
        <v>942.66</v>
      </c>
      <c r="K70" s="53">
        <f t="shared" si="28"/>
        <v>942.66</v>
      </c>
      <c r="L70" s="53">
        <f t="shared" si="28"/>
        <v>946.01</v>
      </c>
      <c r="M70" s="53">
        <f t="shared" si="28"/>
        <v>1015</v>
      </c>
      <c r="N70" s="53">
        <f t="shared" si="28"/>
        <v>1397.16</v>
      </c>
      <c r="O70" s="53">
        <f t="shared" si="28"/>
        <v>1186.8599999999999</v>
      </c>
      <c r="P70" s="53">
        <f t="shared" si="28"/>
        <v>1060.6600000000001</v>
      </c>
      <c r="Q70" s="53">
        <f t="shared" si="28"/>
        <v>943.48</v>
      </c>
      <c r="R70" s="53">
        <f t="shared" si="28"/>
        <v>942.66</v>
      </c>
      <c r="S70" s="53">
        <f t="shared" si="28"/>
        <v>1086.5999999999999</v>
      </c>
      <c r="T70" s="53"/>
      <c r="U70" s="53">
        <f>ROUND(SUM(H70:T70),5)</f>
        <v>13656.46</v>
      </c>
      <c r="V70" s="53">
        <f>ROUND(SUM(V66:V69),5)</f>
        <v>25600</v>
      </c>
      <c r="W70" s="53">
        <f>ROUND(SUM(W66:W69),5)</f>
        <v>25500</v>
      </c>
      <c r="AB70" s="86"/>
      <c r="AC70" s="86"/>
      <c r="AD70" s="86"/>
      <c r="AE70" s="86" t="s">
        <v>128</v>
      </c>
      <c r="AF70" s="86" t="s">
        <v>127</v>
      </c>
      <c r="AG70" s="86"/>
      <c r="AH70" s="93"/>
      <c r="AI70" s="93"/>
      <c r="AJ70" s="93"/>
      <c r="AK70" s="93"/>
      <c r="AL70" s="93">
        <f t="shared" ref="AL70:AW70" si="29">ROUND(SUM(AL66:AL69),5)</f>
        <v>1045.44</v>
      </c>
      <c r="AM70" s="93">
        <f t="shared" si="29"/>
        <v>1066.3699999999999</v>
      </c>
      <c r="AN70" s="93">
        <f t="shared" si="29"/>
        <v>3290.71</v>
      </c>
      <c r="AO70" s="93">
        <f t="shared" si="29"/>
        <v>1090.3699999999999</v>
      </c>
      <c r="AP70" s="93">
        <f t="shared" si="29"/>
        <v>1042.3699999999999</v>
      </c>
      <c r="AQ70" s="93">
        <f t="shared" si="29"/>
        <v>1066.3699999999999</v>
      </c>
      <c r="AR70" s="93">
        <f t="shared" si="29"/>
        <v>1468.91</v>
      </c>
      <c r="AS70" s="93">
        <f t="shared" si="29"/>
        <v>1297.3</v>
      </c>
      <c r="AT70" s="93">
        <f t="shared" si="29"/>
        <v>1196.3599999999999</v>
      </c>
      <c r="AU70" s="93">
        <f t="shared" si="29"/>
        <v>1136.9100000000001</v>
      </c>
      <c r="AV70" s="93">
        <f t="shared" si="29"/>
        <v>1590.57</v>
      </c>
      <c r="AW70" s="93">
        <f t="shared" si="29"/>
        <v>1635.44</v>
      </c>
      <c r="AX70" s="93"/>
      <c r="AY70" s="94">
        <f>ROUND(SUM(AH70:AX70),5)</f>
        <v>16927.12</v>
      </c>
      <c r="AZ70" s="94">
        <f>ROUND(SUM(AZ66:AZ69),5)</f>
        <v>20600</v>
      </c>
      <c r="BA70" s="94">
        <f>ROUND(SUM(BA66:BA69),5)</f>
        <v>25600</v>
      </c>
      <c r="BB70" s="95"/>
    </row>
    <row r="71" spans="1:54" x14ac:dyDescent="0.3">
      <c r="A71" s="50"/>
      <c r="B71" s="50"/>
      <c r="C71" s="50"/>
      <c r="D71" s="50"/>
      <c r="E71" s="50" t="s">
        <v>128</v>
      </c>
      <c r="F71" s="50"/>
      <c r="G71" s="50"/>
      <c r="H71" s="51">
        <f t="shared" ref="H71:S71" si="30">ROUND(H41+H47+H52+H56+H60+H65+H70,5)</f>
        <v>20427.5</v>
      </c>
      <c r="I71" s="51">
        <f t="shared" si="30"/>
        <v>27733.33</v>
      </c>
      <c r="J71" s="51">
        <f t="shared" si="30"/>
        <v>23514.880000000001</v>
      </c>
      <c r="K71" s="51">
        <f t="shared" si="30"/>
        <v>33234.839999999997</v>
      </c>
      <c r="L71" s="51">
        <f t="shared" si="30"/>
        <v>23848.2</v>
      </c>
      <c r="M71" s="51">
        <f t="shared" si="30"/>
        <v>31970.85</v>
      </c>
      <c r="N71" s="51">
        <f t="shared" si="30"/>
        <v>45059.15</v>
      </c>
      <c r="O71" s="51">
        <f t="shared" si="30"/>
        <v>25780.14</v>
      </c>
      <c r="P71" s="51">
        <f t="shared" si="30"/>
        <v>26176.5</v>
      </c>
      <c r="Q71" s="51">
        <f t="shared" si="30"/>
        <v>36375.4</v>
      </c>
      <c r="R71" s="51">
        <f t="shared" si="30"/>
        <v>25977.439999999999</v>
      </c>
      <c r="S71" s="51">
        <f t="shared" si="30"/>
        <v>30418.91</v>
      </c>
      <c r="T71" s="51"/>
      <c r="U71" s="51">
        <f>ROUND(SUM(H71:T71),5)</f>
        <v>350517.14</v>
      </c>
      <c r="V71" s="51">
        <f>ROUND(V41+V47+V52+V56+V60+V65+V70,5)</f>
        <v>470191</v>
      </c>
      <c r="W71" s="51">
        <f>ROUND(W41+W47+W52+W56+W60+W65+W70,5)</f>
        <v>455450</v>
      </c>
      <c r="AB71" s="86"/>
      <c r="AC71" s="86"/>
      <c r="AD71" s="86"/>
      <c r="AE71" s="86" t="s">
        <v>129</v>
      </c>
      <c r="AF71" s="86"/>
      <c r="AG71" s="86"/>
      <c r="AH71" s="87"/>
      <c r="AI71" s="87"/>
      <c r="AJ71" s="87"/>
      <c r="AK71" s="87"/>
      <c r="AL71" s="87">
        <f t="shared" ref="AL71:AW71" si="31">ROUND(AL41+AL50+AL56+AL60+AL65+AL70,5)</f>
        <v>16390.41</v>
      </c>
      <c r="AM71" s="87">
        <f t="shared" si="31"/>
        <v>24775.15</v>
      </c>
      <c r="AN71" s="87">
        <f t="shared" si="31"/>
        <v>22713.78</v>
      </c>
      <c r="AO71" s="87">
        <f t="shared" si="31"/>
        <v>37089.300000000003</v>
      </c>
      <c r="AP71" s="87">
        <f t="shared" si="31"/>
        <v>21281.85</v>
      </c>
      <c r="AQ71" s="87">
        <f t="shared" si="31"/>
        <v>25723.74</v>
      </c>
      <c r="AR71" s="87">
        <f t="shared" si="31"/>
        <v>32956.370000000003</v>
      </c>
      <c r="AS71" s="87">
        <f t="shared" si="31"/>
        <v>23897.8</v>
      </c>
      <c r="AT71" s="87">
        <f t="shared" si="31"/>
        <v>26043.08</v>
      </c>
      <c r="AU71" s="87">
        <f t="shared" si="31"/>
        <v>41853.379999999997</v>
      </c>
      <c r="AV71" s="87">
        <f t="shared" si="31"/>
        <v>37546.199999999997</v>
      </c>
      <c r="AW71" s="87">
        <f t="shared" si="31"/>
        <v>35336.639999999999</v>
      </c>
      <c r="AX71" s="87"/>
      <c r="AY71" s="88">
        <f>ROUND(SUM(AH71:AX71),5)</f>
        <v>345607.7</v>
      </c>
      <c r="AZ71" s="88">
        <f>ROUND(AZ41+AZ50+AZ56+AZ60+AZ65+AZ70,5)</f>
        <v>413380</v>
      </c>
      <c r="BA71" s="88">
        <f>ROUND(BA41+BA50+BA56+BA60+BA65+BA70,5)</f>
        <v>470191</v>
      </c>
      <c r="BB71" s="89"/>
    </row>
    <row r="72" spans="1:54" x14ac:dyDescent="0.3">
      <c r="A72" s="50"/>
      <c r="B72" s="50"/>
      <c r="C72" s="50"/>
      <c r="D72" s="50"/>
      <c r="E72" s="50" t="s">
        <v>129</v>
      </c>
      <c r="F72" s="50"/>
      <c r="G72" s="50"/>
      <c r="H72" s="51"/>
      <c r="I72" s="51"/>
      <c r="J72" s="51"/>
      <c r="K72" s="51"/>
      <c r="L72" s="51"/>
      <c r="M72" s="51"/>
      <c r="N72" s="51"/>
      <c r="O72" s="51"/>
      <c r="P72" s="51"/>
      <c r="Q72" s="51"/>
      <c r="R72" s="51"/>
      <c r="S72" s="51"/>
      <c r="T72" s="51"/>
      <c r="U72" s="51"/>
      <c r="V72" s="51"/>
      <c r="W72" s="51"/>
      <c r="AB72" s="86"/>
      <c r="AC72" s="86"/>
      <c r="AD72" s="86"/>
      <c r="AE72" s="86"/>
      <c r="AF72" s="86"/>
      <c r="AG72" s="86"/>
      <c r="AH72" s="87"/>
      <c r="AI72" s="87"/>
      <c r="AJ72" s="87"/>
      <c r="AK72" s="87"/>
      <c r="AL72" s="87"/>
      <c r="AM72" s="87"/>
      <c r="AN72" s="87"/>
      <c r="AO72" s="87"/>
      <c r="AP72" s="87"/>
      <c r="AQ72" s="87"/>
      <c r="AR72" s="87"/>
      <c r="AS72" s="87"/>
      <c r="AT72" s="87"/>
      <c r="AU72" s="87"/>
      <c r="AV72" s="87"/>
      <c r="AW72" s="87"/>
      <c r="AX72" s="87"/>
      <c r="AY72" s="88"/>
      <c r="AZ72" s="88"/>
      <c r="BA72" s="88"/>
      <c r="BB72" s="89"/>
    </row>
    <row r="73" spans="1:54" x14ac:dyDescent="0.3">
      <c r="A73" s="50"/>
      <c r="B73" s="50"/>
      <c r="C73" s="50"/>
      <c r="D73" s="50"/>
      <c r="E73" s="50"/>
      <c r="F73" s="50" t="s">
        <v>130</v>
      </c>
      <c r="G73" s="50"/>
      <c r="H73" s="51"/>
      <c r="I73" s="51"/>
      <c r="J73" s="51"/>
      <c r="K73" s="51"/>
      <c r="L73" s="51"/>
      <c r="M73" s="51"/>
      <c r="N73" s="51"/>
      <c r="O73" s="51"/>
      <c r="P73" s="51"/>
      <c r="Q73" s="51"/>
      <c r="R73" s="51"/>
      <c r="S73" s="51"/>
      <c r="T73" s="51"/>
      <c r="U73" s="51"/>
      <c r="V73" s="51"/>
      <c r="W73" s="51"/>
      <c r="AB73" s="86"/>
      <c r="AC73" s="86"/>
      <c r="AD73" s="86"/>
      <c r="AE73" s="86"/>
      <c r="AF73" s="86" t="s">
        <v>130</v>
      </c>
      <c r="AG73" s="86"/>
      <c r="AH73" s="87"/>
      <c r="AI73" s="87"/>
      <c r="AJ73" s="87"/>
      <c r="AK73" s="87"/>
      <c r="AL73" s="87"/>
      <c r="AM73" s="87"/>
      <c r="AN73" s="87"/>
      <c r="AO73" s="87"/>
      <c r="AP73" s="87"/>
      <c r="AQ73" s="87"/>
      <c r="AR73" s="87"/>
      <c r="AS73" s="87"/>
      <c r="AT73" s="87"/>
      <c r="AU73" s="87"/>
      <c r="AV73" s="87"/>
      <c r="AW73" s="87"/>
      <c r="AX73" s="87"/>
      <c r="AY73" s="88"/>
      <c r="AZ73" s="88"/>
      <c r="BA73" s="88"/>
      <c r="BB73" s="89"/>
    </row>
    <row r="74" spans="1:54" x14ac:dyDescent="0.3">
      <c r="A74" s="50"/>
      <c r="B74" s="50"/>
      <c r="C74" s="50"/>
      <c r="D74" s="50"/>
      <c r="E74" s="50"/>
      <c r="F74" s="50"/>
      <c r="G74" s="50" t="s">
        <v>131</v>
      </c>
      <c r="H74" s="51">
        <v>336.79</v>
      </c>
      <c r="I74" s="51">
        <v>343.57</v>
      </c>
      <c r="J74" s="51">
        <v>340.18</v>
      </c>
      <c r="K74" s="51">
        <v>340.18</v>
      </c>
      <c r="L74" s="51">
        <v>471.16</v>
      </c>
      <c r="M74" s="51">
        <v>340.18</v>
      </c>
      <c r="N74" s="51">
        <v>340.18</v>
      </c>
      <c r="O74" s="51">
        <v>340.18</v>
      </c>
      <c r="P74" s="51">
        <v>340.18</v>
      </c>
      <c r="Q74" s="51">
        <v>340.18</v>
      </c>
      <c r="R74" s="51">
        <v>340.18</v>
      </c>
      <c r="S74" s="51">
        <v>336.79</v>
      </c>
      <c r="T74" s="51"/>
      <c r="U74" s="51">
        <f>ROUND(SUM(H74:T74),5)</f>
        <v>4209.75</v>
      </c>
      <c r="V74" s="67">
        <v>4100</v>
      </c>
      <c r="W74" s="67">
        <v>4400</v>
      </c>
      <c r="AB74" s="86"/>
      <c r="AC74" s="86"/>
      <c r="AD74" s="86"/>
      <c r="AE74" s="86"/>
      <c r="AF74" s="86"/>
      <c r="AG74" s="86" t="s">
        <v>131</v>
      </c>
      <c r="AH74" s="87"/>
      <c r="AI74" s="87"/>
      <c r="AJ74" s="87"/>
      <c r="AK74" s="87"/>
      <c r="AL74" s="87">
        <v>265.27999999999997</v>
      </c>
      <c r="AM74" s="87">
        <v>329.08</v>
      </c>
      <c r="AN74" s="87">
        <v>297.18</v>
      </c>
      <c r="AO74" s="87">
        <v>297.18</v>
      </c>
      <c r="AP74" s="87">
        <v>297.18</v>
      </c>
      <c r="AQ74" s="87">
        <v>342.55</v>
      </c>
      <c r="AR74" s="87">
        <v>336.79</v>
      </c>
      <c r="AS74" s="87">
        <v>336.79</v>
      </c>
      <c r="AT74" s="87">
        <v>336.79</v>
      </c>
      <c r="AU74" s="87">
        <v>336.79</v>
      </c>
      <c r="AV74" s="87">
        <v>265.27999999999997</v>
      </c>
      <c r="AW74" s="87">
        <v>265.27999999999997</v>
      </c>
      <c r="AX74" s="87"/>
      <c r="AY74" s="88">
        <f>ROUND(SUM(AH74:AX74),5)</f>
        <v>3706.17</v>
      </c>
      <c r="AZ74" s="88">
        <v>3300</v>
      </c>
      <c r="BA74" s="88">
        <v>4100</v>
      </c>
      <c r="BB74" s="89" t="s">
        <v>250</v>
      </c>
    </row>
    <row r="75" spans="1:54" ht="15" thickBot="1" x14ac:dyDescent="0.35">
      <c r="A75" s="50"/>
      <c r="B75" s="50"/>
      <c r="C75" s="50"/>
      <c r="D75" s="50"/>
      <c r="E75" s="50"/>
      <c r="F75" s="50"/>
      <c r="G75" s="50" t="s">
        <v>132</v>
      </c>
      <c r="H75" s="52">
        <v>0</v>
      </c>
      <c r="I75" s="52">
        <v>613.13</v>
      </c>
      <c r="J75" s="52">
        <v>621.05999999999995</v>
      </c>
      <c r="K75" s="52">
        <v>649.05999999999995</v>
      </c>
      <c r="L75" s="52">
        <v>447.52</v>
      </c>
      <c r="M75" s="52">
        <v>449.1</v>
      </c>
      <c r="N75" s="52">
        <v>352.72</v>
      </c>
      <c r="O75" s="52">
        <v>368.99</v>
      </c>
      <c r="P75" s="52">
        <v>439.86</v>
      </c>
      <c r="Q75" s="52">
        <v>437.05</v>
      </c>
      <c r="R75" s="52">
        <v>528.09</v>
      </c>
      <c r="S75" s="52">
        <v>1125.5899999999999</v>
      </c>
      <c r="T75" s="52"/>
      <c r="U75" s="52">
        <f>ROUND(SUM(H75:T75),5)</f>
        <v>6032.17</v>
      </c>
      <c r="V75" s="69">
        <v>5500</v>
      </c>
      <c r="W75" s="69">
        <v>6000</v>
      </c>
      <c r="AB75" s="86"/>
      <c r="AC75" s="86"/>
      <c r="AD75" s="86"/>
      <c r="AE75" s="86"/>
      <c r="AF75" s="86"/>
      <c r="AG75" s="86" t="s">
        <v>132</v>
      </c>
      <c r="AH75" s="90"/>
      <c r="AI75" s="90"/>
      <c r="AJ75" s="90"/>
      <c r="AK75" s="90"/>
      <c r="AL75" s="90">
        <v>0</v>
      </c>
      <c r="AM75" s="90">
        <v>563.13</v>
      </c>
      <c r="AN75" s="90">
        <v>558</v>
      </c>
      <c r="AO75" s="90">
        <v>564.51</v>
      </c>
      <c r="AP75" s="90">
        <v>381.22</v>
      </c>
      <c r="AQ75" s="90">
        <v>394.29</v>
      </c>
      <c r="AR75" s="90">
        <v>348.74</v>
      </c>
      <c r="AS75" s="90">
        <v>330.04</v>
      </c>
      <c r="AT75" s="90">
        <v>387.21</v>
      </c>
      <c r="AU75" s="90">
        <v>320.44</v>
      </c>
      <c r="AV75" s="90">
        <v>350.52</v>
      </c>
      <c r="AW75" s="90">
        <v>939.43</v>
      </c>
      <c r="AX75" s="90"/>
      <c r="AY75" s="91">
        <f>ROUND(SUM(AH75:AX75),5)</f>
        <v>5137.53</v>
      </c>
      <c r="AZ75" s="91">
        <v>5000</v>
      </c>
      <c r="BA75" s="91">
        <v>5500</v>
      </c>
      <c r="BB75" s="92"/>
    </row>
    <row r="76" spans="1:54" x14ac:dyDescent="0.3">
      <c r="A76" s="50"/>
      <c r="B76" s="50"/>
      <c r="C76" s="50"/>
      <c r="D76" s="50"/>
      <c r="E76" s="50"/>
      <c r="F76" s="50" t="s">
        <v>133</v>
      </c>
      <c r="G76" s="50"/>
      <c r="H76" s="51">
        <f t="shared" ref="H76:P76" si="32">ROUND(SUM(H73:H75),5)</f>
        <v>336.79</v>
      </c>
      <c r="I76" s="51">
        <f t="shared" si="32"/>
        <v>956.7</v>
      </c>
      <c r="J76" s="51">
        <f t="shared" si="32"/>
        <v>961.24</v>
      </c>
      <c r="K76" s="51">
        <f t="shared" si="32"/>
        <v>989.24</v>
      </c>
      <c r="L76" s="51">
        <f t="shared" si="32"/>
        <v>918.68</v>
      </c>
      <c r="M76" s="51">
        <f t="shared" si="32"/>
        <v>789.28</v>
      </c>
      <c r="N76" s="51">
        <f t="shared" si="32"/>
        <v>692.9</v>
      </c>
      <c r="O76" s="51">
        <f t="shared" si="32"/>
        <v>709.17</v>
      </c>
      <c r="P76" s="51">
        <f t="shared" si="32"/>
        <v>780.04</v>
      </c>
      <c r="Q76" s="51">
        <f>ROUND(SUM(Q73:Q75),5)</f>
        <v>777.23</v>
      </c>
      <c r="R76" s="51">
        <f>ROUND(SUM(R73:R75),5)</f>
        <v>868.27</v>
      </c>
      <c r="S76" s="51">
        <f>ROUND(SUM(S73:S75),5)</f>
        <v>1462.38</v>
      </c>
      <c r="T76" s="51"/>
      <c r="U76" s="51">
        <f>ROUND(SUM(H76:T76),5)</f>
        <v>10241.92</v>
      </c>
      <c r="V76" s="51">
        <f>ROUND(SUM(V73:V75),5)</f>
        <v>9600</v>
      </c>
      <c r="W76" s="51">
        <f>ROUND(SUM(W73:W75),5)</f>
        <v>10400</v>
      </c>
      <c r="AB76" s="86"/>
      <c r="AC76" s="86"/>
      <c r="AD76" s="86"/>
      <c r="AE76" s="86"/>
      <c r="AF76" s="86" t="s">
        <v>133</v>
      </c>
      <c r="AG76" s="86"/>
      <c r="AH76" s="87"/>
      <c r="AI76" s="87"/>
      <c r="AJ76" s="87"/>
      <c r="AK76" s="87"/>
      <c r="AL76" s="87">
        <f t="shared" ref="AL76:AW76" si="33">ROUND(SUM(AL73:AL75),5)</f>
        <v>265.27999999999997</v>
      </c>
      <c r="AM76" s="87">
        <f t="shared" si="33"/>
        <v>892.21</v>
      </c>
      <c r="AN76" s="87">
        <f t="shared" si="33"/>
        <v>855.18</v>
      </c>
      <c r="AO76" s="87">
        <f t="shared" si="33"/>
        <v>861.69</v>
      </c>
      <c r="AP76" s="87">
        <f t="shared" si="33"/>
        <v>678.4</v>
      </c>
      <c r="AQ76" s="87">
        <f t="shared" si="33"/>
        <v>736.84</v>
      </c>
      <c r="AR76" s="87">
        <f t="shared" si="33"/>
        <v>685.53</v>
      </c>
      <c r="AS76" s="87">
        <f t="shared" si="33"/>
        <v>666.83</v>
      </c>
      <c r="AT76" s="87">
        <f t="shared" si="33"/>
        <v>724</v>
      </c>
      <c r="AU76" s="87">
        <f t="shared" si="33"/>
        <v>657.23</v>
      </c>
      <c r="AV76" s="87">
        <f t="shared" si="33"/>
        <v>615.79999999999995</v>
      </c>
      <c r="AW76" s="87">
        <f t="shared" si="33"/>
        <v>1204.71</v>
      </c>
      <c r="AX76" s="87"/>
      <c r="AY76" s="88">
        <f>ROUND(SUM(AH76:AX76),5)</f>
        <v>8843.7000000000007</v>
      </c>
      <c r="AZ76" s="88">
        <f>ROUND(SUM(AZ73:AZ75),5)</f>
        <v>8300</v>
      </c>
      <c r="BA76" s="88">
        <f>ROUND(SUM(BA73:BA75),5)</f>
        <v>9600</v>
      </c>
      <c r="BB76" s="89"/>
    </row>
    <row r="77" spans="1:54" x14ac:dyDescent="0.3">
      <c r="A77" s="50"/>
      <c r="B77" s="50"/>
      <c r="C77" s="50"/>
      <c r="D77" s="50"/>
      <c r="E77" s="50"/>
      <c r="F77" s="50"/>
      <c r="G77" s="50"/>
      <c r="H77" s="51"/>
      <c r="I77" s="51"/>
      <c r="J77" s="51"/>
      <c r="K77" s="51"/>
      <c r="L77" s="51"/>
      <c r="M77" s="51"/>
      <c r="N77" s="51"/>
      <c r="O77" s="51"/>
      <c r="P77" s="51"/>
      <c r="Q77" s="51"/>
      <c r="R77" s="51"/>
      <c r="S77" s="51"/>
      <c r="T77" s="51"/>
      <c r="U77" s="51"/>
      <c r="V77" s="51"/>
      <c r="W77" s="51"/>
      <c r="AB77" s="86"/>
      <c r="AC77" s="86"/>
      <c r="AD77" s="86"/>
      <c r="AE77" s="86"/>
      <c r="AF77" s="86"/>
      <c r="AG77" s="86"/>
      <c r="AH77" s="87"/>
      <c r="AI77" s="87"/>
      <c r="AJ77" s="87"/>
      <c r="AK77" s="87"/>
      <c r="AL77" s="87"/>
      <c r="AM77" s="87"/>
      <c r="AN77" s="87"/>
      <c r="AO77" s="87"/>
      <c r="AP77" s="87"/>
      <c r="AQ77" s="87"/>
      <c r="AR77" s="87"/>
      <c r="AS77" s="87"/>
      <c r="AT77" s="87"/>
      <c r="AU77" s="87"/>
      <c r="AV77" s="87"/>
      <c r="AW77" s="87"/>
      <c r="AX77" s="87"/>
      <c r="AY77" s="88"/>
      <c r="AZ77" s="88"/>
      <c r="BA77" s="88"/>
      <c r="BB77" s="89"/>
    </row>
    <row r="78" spans="1:54" x14ac:dyDescent="0.3">
      <c r="A78" s="50"/>
      <c r="B78" s="50"/>
      <c r="C78" s="50"/>
      <c r="D78" s="50"/>
      <c r="E78" s="50"/>
      <c r="F78" s="50"/>
      <c r="G78" s="50"/>
      <c r="H78" s="51"/>
      <c r="I78" s="51"/>
      <c r="J78" s="51"/>
      <c r="K78" s="51"/>
      <c r="L78" s="51"/>
      <c r="M78" s="51"/>
      <c r="N78" s="51"/>
      <c r="O78" s="51"/>
      <c r="P78" s="51"/>
      <c r="Q78" s="51"/>
      <c r="R78" s="51"/>
      <c r="S78" s="51"/>
      <c r="T78" s="51"/>
      <c r="U78" s="51"/>
      <c r="V78" s="51"/>
      <c r="W78" s="51"/>
      <c r="AB78" s="86"/>
      <c r="AC78" s="86"/>
      <c r="AD78" s="86"/>
      <c r="AE78" s="86"/>
      <c r="AF78" s="86"/>
      <c r="AG78" s="86"/>
      <c r="AH78" s="87"/>
      <c r="AI78" s="87"/>
      <c r="AJ78" s="87"/>
      <c r="AK78" s="87"/>
      <c r="AL78" s="87"/>
      <c r="AM78" s="87"/>
      <c r="AN78" s="87"/>
      <c r="AO78" s="87"/>
      <c r="AP78" s="87"/>
      <c r="AQ78" s="87"/>
      <c r="AR78" s="87"/>
      <c r="AS78" s="87"/>
      <c r="AT78" s="87"/>
      <c r="AU78" s="87"/>
      <c r="AV78" s="87"/>
      <c r="AW78" s="87"/>
      <c r="AX78" s="87"/>
      <c r="AY78" s="88"/>
      <c r="AZ78" s="88"/>
      <c r="BA78" s="88"/>
      <c r="BB78" s="89"/>
    </row>
    <row r="79" spans="1:54" x14ac:dyDescent="0.3">
      <c r="A79" s="50"/>
      <c r="B79" s="50"/>
      <c r="C79" s="50"/>
      <c r="D79" s="50"/>
      <c r="E79" s="50"/>
      <c r="F79" s="50"/>
      <c r="G79" s="50"/>
      <c r="H79" s="51"/>
      <c r="I79" s="51"/>
      <c r="J79" s="51"/>
      <c r="K79" s="51"/>
      <c r="L79" s="51"/>
      <c r="M79" s="51"/>
      <c r="N79" s="51"/>
      <c r="O79" s="51"/>
      <c r="P79" s="51"/>
      <c r="Q79" s="51"/>
      <c r="R79" s="51"/>
      <c r="S79" s="51"/>
      <c r="T79" s="51"/>
      <c r="U79" s="51"/>
      <c r="V79" s="51"/>
      <c r="W79" s="51"/>
      <c r="AB79" s="86"/>
      <c r="AC79" s="86"/>
      <c r="AD79" s="86"/>
      <c r="AE79" s="86"/>
      <c r="AF79" s="86"/>
      <c r="AG79" s="86"/>
      <c r="AH79" s="87"/>
      <c r="AI79" s="87"/>
      <c r="AJ79" s="87"/>
      <c r="AK79" s="87"/>
      <c r="AL79" s="87"/>
      <c r="AM79" s="87"/>
      <c r="AN79" s="87"/>
      <c r="AO79" s="87"/>
      <c r="AP79" s="87"/>
      <c r="AQ79" s="87"/>
      <c r="AR79" s="87"/>
      <c r="AS79" s="87"/>
      <c r="AT79" s="87"/>
      <c r="AU79" s="87"/>
      <c r="AV79" s="87"/>
      <c r="AW79" s="87"/>
      <c r="AX79" s="87"/>
      <c r="AY79" s="88"/>
      <c r="AZ79" s="88"/>
      <c r="BA79" s="88"/>
      <c r="BB79" s="89"/>
    </row>
    <row r="80" spans="1:54" x14ac:dyDescent="0.3">
      <c r="A80" s="50"/>
      <c r="B80" s="50"/>
      <c r="C80" s="50"/>
      <c r="D80" s="50"/>
      <c r="E80" s="50"/>
      <c r="F80" s="50"/>
      <c r="G80" s="50"/>
      <c r="H80" s="51"/>
      <c r="I80" s="51"/>
      <c r="J80" s="51"/>
      <c r="K80" s="51"/>
      <c r="L80" s="51"/>
      <c r="M80" s="51"/>
      <c r="N80" s="51"/>
      <c r="O80" s="51"/>
      <c r="P80" s="51"/>
      <c r="Q80" s="51"/>
      <c r="R80" s="51"/>
      <c r="S80" s="51"/>
      <c r="T80" s="51"/>
      <c r="U80" s="51"/>
      <c r="V80" s="51"/>
      <c r="W80" s="51"/>
      <c r="AB80" s="86"/>
      <c r="AC80" s="86"/>
      <c r="AD80" s="86"/>
      <c r="AE80" s="86"/>
      <c r="AF80" s="86"/>
      <c r="AG80" s="86"/>
      <c r="AH80" s="87"/>
      <c r="AI80" s="87"/>
      <c r="AJ80" s="87"/>
      <c r="AK80" s="87"/>
      <c r="AL80" s="87"/>
      <c r="AM80" s="87"/>
      <c r="AN80" s="87"/>
      <c r="AO80" s="87"/>
      <c r="AP80" s="87"/>
      <c r="AQ80" s="87"/>
      <c r="AR80" s="87"/>
      <c r="AS80" s="87"/>
      <c r="AT80" s="87"/>
      <c r="AU80" s="87"/>
      <c r="AV80" s="87"/>
      <c r="AW80" s="87"/>
      <c r="AX80" s="87"/>
      <c r="AY80" s="88"/>
      <c r="AZ80" s="88"/>
      <c r="BA80" s="88"/>
      <c r="BB80" s="89"/>
    </row>
    <row r="81" spans="1:54" x14ac:dyDescent="0.3">
      <c r="A81" s="50"/>
      <c r="B81" s="50"/>
      <c r="C81" s="50"/>
      <c r="D81" s="50"/>
      <c r="E81" s="50"/>
      <c r="F81" s="50"/>
      <c r="G81" s="50"/>
      <c r="H81" s="51"/>
      <c r="I81" s="51"/>
      <c r="J81" s="51"/>
      <c r="K81" s="51"/>
      <c r="L81" s="51"/>
      <c r="M81" s="51"/>
      <c r="N81" s="51"/>
      <c r="O81" s="51"/>
      <c r="P81" s="51"/>
      <c r="Q81" s="51"/>
      <c r="R81" s="51"/>
      <c r="S81" s="51"/>
      <c r="T81" s="51"/>
      <c r="U81" s="51"/>
      <c r="V81" s="51"/>
      <c r="W81" s="51"/>
      <c r="AB81" s="86"/>
      <c r="AC81" s="86"/>
      <c r="AD81" s="86"/>
      <c r="AE81" s="86"/>
      <c r="AF81" s="86"/>
      <c r="AG81" s="86"/>
      <c r="AH81" s="87"/>
      <c r="AI81" s="87"/>
      <c r="AJ81" s="87"/>
      <c r="AK81" s="87"/>
      <c r="AL81" s="87"/>
      <c r="AM81" s="87"/>
      <c r="AN81" s="87"/>
      <c r="AO81" s="87"/>
      <c r="AP81" s="87"/>
      <c r="AQ81" s="87"/>
      <c r="AR81" s="87"/>
      <c r="AS81" s="87"/>
      <c r="AT81" s="87"/>
      <c r="AU81" s="87"/>
      <c r="AV81" s="87"/>
      <c r="AW81" s="87"/>
      <c r="AX81" s="87"/>
      <c r="AY81" s="88"/>
      <c r="AZ81" s="88"/>
      <c r="BA81" s="88"/>
      <c r="BB81" s="89"/>
    </row>
    <row r="82" spans="1:54" x14ac:dyDescent="0.3">
      <c r="A82" s="50"/>
      <c r="B82" s="50"/>
      <c r="C82" s="50"/>
      <c r="D82" s="50"/>
      <c r="E82" s="50"/>
      <c r="F82" s="50"/>
      <c r="G82" s="50"/>
      <c r="H82" s="51"/>
      <c r="I82" s="51"/>
      <c r="J82" s="51"/>
      <c r="K82" s="51"/>
      <c r="L82" s="51"/>
      <c r="M82" s="51"/>
      <c r="N82" s="51"/>
      <c r="O82" s="51"/>
      <c r="P82" s="51"/>
      <c r="Q82" s="51"/>
      <c r="R82" s="51"/>
      <c r="S82" s="51"/>
      <c r="T82" s="51"/>
      <c r="U82" s="51"/>
      <c r="V82" s="51"/>
      <c r="W82" s="51"/>
      <c r="AB82" s="86"/>
      <c r="AC82" s="86"/>
      <c r="AD82" s="86"/>
      <c r="AE82" s="86"/>
      <c r="AF82" s="86"/>
      <c r="AG82" s="86"/>
      <c r="AH82" s="87"/>
      <c r="AI82" s="87"/>
      <c r="AJ82" s="87"/>
      <c r="AK82" s="87"/>
      <c r="AL82" s="87"/>
      <c r="AM82" s="87"/>
      <c r="AN82" s="87"/>
      <c r="AO82" s="87"/>
      <c r="AP82" s="87"/>
      <c r="AQ82" s="87"/>
      <c r="AR82" s="87"/>
      <c r="AS82" s="87"/>
      <c r="AT82" s="87"/>
      <c r="AU82" s="87"/>
      <c r="AV82" s="87"/>
      <c r="AW82" s="87"/>
      <c r="AX82" s="87"/>
      <c r="AY82" s="88"/>
      <c r="AZ82" s="88"/>
      <c r="BA82" s="88"/>
      <c r="BB82" s="89"/>
    </row>
    <row r="83" spans="1:54" x14ac:dyDescent="0.3">
      <c r="A83" s="50"/>
      <c r="B83" s="50"/>
      <c r="C83" s="50"/>
      <c r="D83" s="50"/>
      <c r="E83" s="50"/>
      <c r="F83" s="50"/>
      <c r="G83" s="50"/>
      <c r="H83" s="51"/>
      <c r="I83" s="51"/>
      <c r="J83" s="51"/>
      <c r="K83" s="51"/>
      <c r="L83" s="51"/>
      <c r="M83" s="51"/>
      <c r="N83" s="51"/>
      <c r="O83" s="51"/>
      <c r="P83" s="51"/>
      <c r="Q83" s="51"/>
      <c r="R83" s="51"/>
      <c r="S83" s="51"/>
      <c r="T83" s="51"/>
      <c r="U83" s="51"/>
      <c r="V83" s="51"/>
      <c r="W83" s="51"/>
      <c r="AB83" s="86"/>
      <c r="AC83" s="86"/>
      <c r="AD83" s="86"/>
      <c r="AE83" s="86"/>
      <c r="AF83" s="86"/>
      <c r="AG83" s="86"/>
      <c r="AH83" s="87"/>
      <c r="AI83" s="87"/>
      <c r="AJ83" s="87"/>
      <c r="AK83" s="87"/>
      <c r="AL83" s="87"/>
      <c r="AM83" s="87"/>
      <c r="AN83" s="87"/>
      <c r="AO83" s="87"/>
      <c r="AP83" s="87"/>
      <c r="AQ83" s="87"/>
      <c r="AR83" s="87"/>
      <c r="AS83" s="87"/>
      <c r="AT83" s="87"/>
      <c r="AU83" s="87"/>
      <c r="AV83" s="87"/>
      <c r="AW83" s="87"/>
      <c r="AX83" s="87"/>
      <c r="AY83" s="88"/>
      <c r="AZ83" s="88"/>
      <c r="BA83" s="88"/>
      <c r="BB83" s="89"/>
    </row>
    <row r="84" spans="1:54" x14ac:dyDescent="0.3">
      <c r="A84" s="50"/>
      <c r="B84" s="50"/>
      <c r="C84" s="50"/>
      <c r="D84" s="50"/>
      <c r="E84" s="50"/>
      <c r="F84" s="50"/>
      <c r="G84" s="50"/>
      <c r="H84" s="51"/>
      <c r="I84" s="51"/>
      <c r="J84" s="51"/>
      <c r="K84" s="51"/>
      <c r="L84" s="51"/>
      <c r="M84" s="51"/>
      <c r="N84" s="51"/>
      <c r="O84" s="51"/>
      <c r="P84" s="51"/>
      <c r="Q84" s="51"/>
      <c r="R84" s="51"/>
      <c r="S84" s="51"/>
      <c r="T84" s="51"/>
      <c r="U84" s="51"/>
      <c r="V84" s="51"/>
      <c r="W84" s="51"/>
      <c r="AB84" s="86"/>
      <c r="AC84" s="86"/>
      <c r="AD84" s="86"/>
      <c r="AE84" s="86"/>
      <c r="AF84" s="86"/>
      <c r="AG84" s="86"/>
      <c r="AH84" s="87"/>
      <c r="AI84" s="87"/>
      <c r="AJ84" s="87"/>
      <c r="AK84" s="87"/>
      <c r="AL84" s="87"/>
      <c r="AM84" s="87"/>
      <c r="AN84" s="87"/>
      <c r="AO84" s="87"/>
      <c r="AP84" s="87"/>
      <c r="AQ84" s="87"/>
      <c r="AR84" s="87"/>
      <c r="AS84" s="87"/>
      <c r="AT84" s="87"/>
      <c r="AU84" s="87"/>
      <c r="AV84" s="87"/>
      <c r="AW84" s="87"/>
      <c r="AX84" s="87"/>
      <c r="AY84" s="88"/>
      <c r="AZ84" s="88"/>
      <c r="BA84" s="88"/>
      <c r="BB84" s="89"/>
    </row>
    <row r="85" spans="1:54" x14ac:dyDescent="0.3">
      <c r="A85" s="50"/>
      <c r="B85" s="50"/>
      <c r="C85" s="50"/>
      <c r="D85" s="50"/>
      <c r="E85" s="50"/>
      <c r="F85" s="50"/>
      <c r="G85" s="50"/>
      <c r="H85" s="51"/>
      <c r="I85" s="51"/>
      <c r="J85" s="51"/>
      <c r="K85" s="51"/>
      <c r="L85" s="51"/>
      <c r="M85" s="51"/>
      <c r="N85" s="51"/>
      <c r="O85" s="51"/>
      <c r="P85" s="51"/>
      <c r="Q85" s="51"/>
      <c r="R85" s="51"/>
      <c r="S85" s="51"/>
      <c r="T85" s="51"/>
      <c r="U85" s="51"/>
      <c r="V85" s="51"/>
      <c r="W85" s="51"/>
      <c r="AB85" s="86"/>
      <c r="AC85" s="86"/>
      <c r="AD85" s="86"/>
      <c r="AE85" s="86"/>
      <c r="AF85" s="86"/>
      <c r="AG85" s="86"/>
      <c r="AH85" s="87"/>
      <c r="AI85" s="87"/>
      <c r="AJ85" s="87"/>
      <c r="AK85" s="87"/>
      <c r="AL85" s="87"/>
      <c r="AM85" s="87"/>
      <c r="AN85" s="87"/>
      <c r="AO85" s="87"/>
      <c r="AP85" s="87"/>
      <c r="AQ85" s="87"/>
      <c r="AR85" s="87"/>
      <c r="AS85" s="87"/>
      <c r="AT85" s="87"/>
      <c r="AU85" s="87"/>
      <c r="AV85" s="87"/>
      <c r="AW85" s="87"/>
      <c r="AX85" s="87"/>
      <c r="AY85" s="88"/>
      <c r="AZ85" s="88"/>
      <c r="BA85" s="88"/>
      <c r="BB85" s="89"/>
    </row>
    <row r="86" spans="1:54" x14ac:dyDescent="0.3">
      <c r="A86" s="50"/>
      <c r="B86" s="50"/>
      <c r="C86" s="50"/>
      <c r="D86" s="50"/>
      <c r="E86" s="50"/>
      <c r="F86" s="50"/>
      <c r="G86" s="50"/>
      <c r="H86" s="51"/>
      <c r="I86" s="51"/>
      <c r="J86" s="51"/>
      <c r="K86" s="51"/>
      <c r="L86" s="51"/>
      <c r="M86" s="51"/>
      <c r="N86" s="51"/>
      <c r="O86" s="51"/>
      <c r="P86" s="51"/>
      <c r="Q86" s="51"/>
      <c r="R86" s="51"/>
      <c r="S86" s="51"/>
      <c r="T86" s="51"/>
      <c r="U86" s="51"/>
      <c r="V86" s="51"/>
      <c r="W86" s="51"/>
      <c r="AB86" s="86"/>
      <c r="AC86" s="86"/>
      <c r="AD86" s="86"/>
      <c r="AE86" s="86"/>
      <c r="AF86" s="86"/>
      <c r="AG86" s="86"/>
      <c r="AH86" s="87"/>
      <c r="AI86" s="87"/>
      <c r="AJ86" s="87"/>
      <c r="AK86" s="87"/>
      <c r="AL86" s="87"/>
      <c r="AM86" s="87"/>
      <c r="AN86" s="87"/>
      <c r="AO86" s="87"/>
      <c r="AP86" s="87"/>
      <c r="AQ86" s="87"/>
      <c r="AR86" s="87"/>
      <c r="AS86" s="87"/>
      <c r="AT86" s="87"/>
      <c r="AU86" s="87"/>
      <c r="AV86" s="87"/>
      <c r="AW86" s="87"/>
      <c r="AX86" s="87"/>
      <c r="AY86" s="88"/>
      <c r="AZ86" s="88"/>
      <c r="BA86" s="88"/>
      <c r="BB86" s="89"/>
    </row>
    <row r="87" spans="1:54" x14ac:dyDescent="0.3">
      <c r="A87" s="50"/>
      <c r="B87" s="50"/>
      <c r="C87" s="50"/>
      <c r="D87" s="50"/>
      <c r="E87" s="50"/>
      <c r="F87" s="50"/>
      <c r="G87" s="50"/>
      <c r="H87" s="51"/>
      <c r="I87" s="51"/>
      <c r="J87" s="51"/>
      <c r="K87" s="51"/>
      <c r="L87" s="51"/>
      <c r="M87" s="51"/>
      <c r="N87" s="51"/>
      <c r="O87" s="51"/>
      <c r="P87" s="51"/>
      <c r="Q87" s="51"/>
      <c r="R87" s="51"/>
      <c r="S87" s="51"/>
      <c r="T87" s="51"/>
      <c r="U87" s="51"/>
      <c r="V87" s="51"/>
      <c r="W87" s="51"/>
      <c r="AB87" s="86"/>
      <c r="AC87" s="86"/>
      <c r="AD87" s="86"/>
      <c r="AE87" s="86"/>
      <c r="AF87" s="86"/>
      <c r="AG87" s="86"/>
      <c r="AH87" s="87"/>
      <c r="AI87" s="87"/>
      <c r="AJ87" s="87"/>
      <c r="AK87" s="87"/>
      <c r="AL87" s="87"/>
      <c r="AM87" s="87"/>
      <c r="AN87" s="87"/>
      <c r="AO87" s="87"/>
      <c r="AP87" s="87"/>
      <c r="AQ87" s="87"/>
      <c r="AR87" s="87"/>
      <c r="AS87" s="87"/>
      <c r="AT87" s="87"/>
      <c r="AU87" s="87"/>
      <c r="AV87" s="87"/>
      <c r="AW87" s="87"/>
      <c r="AX87" s="87"/>
      <c r="AY87" s="88"/>
      <c r="AZ87" s="88"/>
      <c r="BA87" s="88"/>
      <c r="BB87" s="89"/>
    </row>
    <row r="88" spans="1:54" x14ac:dyDescent="0.3">
      <c r="A88" s="50"/>
      <c r="B88" s="50"/>
      <c r="C88" s="50"/>
      <c r="D88" s="50"/>
      <c r="E88" s="50"/>
      <c r="F88" s="50"/>
      <c r="G88" s="50"/>
      <c r="H88" s="51"/>
      <c r="I88" s="51"/>
      <c r="J88" s="51"/>
      <c r="K88" s="51"/>
      <c r="L88" s="51"/>
      <c r="M88" s="51"/>
      <c r="N88" s="51"/>
      <c r="O88" s="51"/>
      <c r="P88" s="51"/>
      <c r="Q88" s="51"/>
      <c r="R88" s="51"/>
      <c r="S88" s="51"/>
      <c r="T88" s="51"/>
      <c r="U88" s="51"/>
      <c r="V88" s="51"/>
      <c r="W88" s="51"/>
      <c r="AB88" s="86"/>
      <c r="AC88" s="86"/>
      <c r="AD88" s="86"/>
      <c r="AE88" s="86"/>
      <c r="AF88" s="86"/>
      <c r="AG88" s="86"/>
      <c r="AH88" s="87"/>
      <c r="AI88" s="87"/>
      <c r="AJ88" s="87"/>
      <c r="AK88" s="87"/>
      <c r="AL88" s="87"/>
      <c r="AM88" s="87"/>
      <c r="AN88" s="87"/>
      <c r="AO88" s="87"/>
      <c r="AP88" s="87"/>
      <c r="AQ88" s="87"/>
      <c r="AR88" s="87"/>
      <c r="AS88" s="87"/>
      <c r="AT88" s="87"/>
      <c r="AU88" s="87"/>
      <c r="AV88" s="87"/>
      <c r="AW88" s="87"/>
      <c r="AX88" s="87"/>
      <c r="AY88" s="88"/>
      <c r="AZ88" s="88"/>
      <c r="BA88" s="88"/>
      <c r="BB88" s="89"/>
    </row>
    <row r="89" spans="1:54" x14ac:dyDescent="0.3">
      <c r="A89" s="50"/>
      <c r="B89" s="50"/>
      <c r="C89" s="50"/>
      <c r="D89" s="50"/>
      <c r="E89" s="50"/>
      <c r="F89" s="50"/>
      <c r="G89" s="50"/>
      <c r="H89" s="51"/>
      <c r="I89" s="51"/>
      <c r="J89" s="51"/>
      <c r="K89" s="51"/>
      <c r="L89" s="51"/>
      <c r="M89" s="51"/>
      <c r="N89" s="51"/>
      <c r="O89" s="51"/>
      <c r="P89" s="51"/>
      <c r="Q89" s="51"/>
      <c r="R89" s="51"/>
      <c r="S89" s="51"/>
      <c r="T89" s="51"/>
      <c r="U89" s="51"/>
      <c r="V89" s="51"/>
      <c r="W89" s="51"/>
      <c r="AB89" s="86"/>
      <c r="AC89" s="86"/>
      <c r="AD89" s="86"/>
      <c r="AE89" s="86"/>
      <c r="AF89" s="86"/>
      <c r="AG89" s="86"/>
      <c r="AH89" s="87"/>
      <c r="AI89" s="87"/>
      <c r="AJ89" s="87"/>
      <c r="AK89" s="87"/>
      <c r="AL89" s="87"/>
      <c r="AM89" s="87"/>
      <c r="AN89" s="87"/>
      <c r="AO89" s="87"/>
      <c r="AP89" s="87"/>
      <c r="AQ89" s="87"/>
      <c r="AR89" s="87"/>
      <c r="AS89" s="87"/>
      <c r="AT89" s="87"/>
      <c r="AU89" s="87"/>
      <c r="AV89" s="87"/>
      <c r="AW89" s="87"/>
      <c r="AX89" s="87"/>
      <c r="AY89" s="88"/>
      <c r="AZ89" s="88"/>
      <c r="BA89" s="88"/>
      <c r="BB89" s="89"/>
    </row>
    <row r="90" spans="1:54" x14ac:dyDescent="0.3">
      <c r="A90" s="50"/>
      <c r="B90" s="50"/>
      <c r="C90" s="50"/>
      <c r="D90" s="50"/>
      <c r="E90" s="50"/>
      <c r="F90" s="50"/>
      <c r="G90" s="50"/>
      <c r="H90" s="51"/>
      <c r="I90" s="51"/>
      <c r="J90" s="51"/>
      <c r="K90" s="51"/>
      <c r="L90" s="51"/>
      <c r="M90" s="51"/>
      <c r="N90" s="51"/>
      <c r="O90" s="51"/>
      <c r="P90" s="51"/>
      <c r="Q90" s="51"/>
      <c r="R90" s="51"/>
      <c r="S90" s="51"/>
      <c r="T90" s="51"/>
      <c r="U90" s="51"/>
      <c r="V90" s="51"/>
      <c r="W90" s="51"/>
      <c r="AB90" s="86"/>
      <c r="AC90" s="86"/>
      <c r="AD90" s="86"/>
      <c r="AE90" s="86"/>
      <c r="AF90" s="86"/>
      <c r="AG90" s="86"/>
      <c r="AH90" s="87"/>
      <c r="AI90" s="87"/>
      <c r="AJ90" s="87"/>
      <c r="AK90" s="87"/>
      <c r="AL90" s="87"/>
      <c r="AM90" s="87"/>
      <c r="AN90" s="87"/>
      <c r="AO90" s="87"/>
      <c r="AP90" s="87"/>
      <c r="AQ90" s="87"/>
      <c r="AR90" s="87"/>
      <c r="AS90" s="87"/>
      <c r="AT90" s="87"/>
      <c r="AU90" s="87"/>
      <c r="AV90" s="87"/>
      <c r="AW90" s="87"/>
      <c r="AX90" s="87"/>
      <c r="AY90" s="88"/>
      <c r="AZ90" s="88"/>
      <c r="BA90" s="88"/>
      <c r="BB90" s="89"/>
    </row>
    <row r="91" spans="1:54" x14ac:dyDescent="0.3">
      <c r="A91" s="50"/>
      <c r="B91" s="50"/>
      <c r="C91" s="50"/>
      <c r="D91" s="50"/>
      <c r="E91" s="50"/>
      <c r="F91" s="50"/>
      <c r="G91" s="50"/>
      <c r="H91" s="51"/>
      <c r="I91" s="51"/>
      <c r="J91" s="51"/>
      <c r="K91" s="51"/>
      <c r="L91" s="51"/>
      <c r="M91" s="51"/>
      <c r="N91" s="51"/>
      <c r="O91" s="51"/>
      <c r="P91" s="51"/>
      <c r="Q91" s="51"/>
      <c r="R91" s="51"/>
      <c r="S91" s="51"/>
      <c r="T91" s="51"/>
      <c r="U91" s="51"/>
      <c r="V91" s="51"/>
      <c r="W91" s="51"/>
      <c r="AB91" s="86"/>
      <c r="AC91" s="86"/>
      <c r="AD91" s="86"/>
      <c r="AE91" s="86"/>
      <c r="AF91" s="86"/>
      <c r="AG91" s="86"/>
      <c r="AH91" s="87"/>
      <c r="AI91" s="87"/>
      <c r="AJ91" s="87"/>
      <c r="AK91" s="87"/>
      <c r="AL91" s="87"/>
      <c r="AM91" s="87"/>
      <c r="AN91" s="87"/>
      <c r="AO91" s="87"/>
      <c r="AP91" s="87"/>
      <c r="AQ91" s="87"/>
      <c r="AR91" s="87"/>
      <c r="AS91" s="87"/>
      <c r="AT91" s="87"/>
      <c r="AU91" s="87"/>
      <c r="AV91" s="87"/>
      <c r="AW91" s="87"/>
      <c r="AX91" s="87"/>
      <c r="AY91" s="88"/>
      <c r="AZ91" s="88"/>
      <c r="BA91" s="88"/>
      <c r="BB91" s="89"/>
    </row>
    <row r="92" spans="1:54" x14ac:dyDescent="0.3">
      <c r="A92" s="50"/>
      <c r="B92" s="50"/>
      <c r="C92" s="50"/>
      <c r="D92" s="50"/>
      <c r="E92" s="50"/>
      <c r="F92" s="50" t="s">
        <v>134</v>
      </c>
      <c r="G92" s="50"/>
      <c r="H92" s="51"/>
      <c r="I92" s="51"/>
      <c r="J92" s="51"/>
      <c r="K92" s="51"/>
      <c r="L92" s="51"/>
      <c r="M92" s="51"/>
      <c r="N92" s="51"/>
      <c r="O92" s="51"/>
      <c r="P92" s="51"/>
      <c r="Q92" s="51"/>
      <c r="R92" s="51"/>
      <c r="S92" s="51"/>
      <c r="T92" s="51"/>
      <c r="U92" s="51"/>
      <c r="V92" s="51"/>
      <c r="W92" s="51"/>
      <c r="AB92" s="86"/>
      <c r="AC92" s="86"/>
      <c r="AD92" s="86"/>
      <c r="AE92" s="86"/>
      <c r="AF92" s="86" t="s">
        <v>134</v>
      </c>
      <c r="AG92" s="86"/>
      <c r="AH92" s="87"/>
      <c r="AI92" s="87"/>
      <c r="AJ92" s="87"/>
      <c r="AK92" s="87"/>
      <c r="AL92" s="87"/>
      <c r="AM92" s="87"/>
      <c r="AN92" s="87"/>
      <c r="AO92" s="87"/>
      <c r="AP92" s="87"/>
      <c r="AQ92" s="87"/>
      <c r="AR92" s="87"/>
      <c r="AS92" s="87"/>
      <c r="AT92" s="87"/>
      <c r="AU92" s="87"/>
      <c r="AV92" s="87"/>
      <c r="AW92" s="87"/>
      <c r="AX92" s="87"/>
      <c r="AY92" s="88"/>
      <c r="AZ92" s="88"/>
      <c r="BA92" s="88"/>
      <c r="BB92" s="89"/>
    </row>
    <row r="93" spans="1:54" x14ac:dyDescent="0.3">
      <c r="A93" s="50"/>
      <c r="B93" s="50"/>
      <c r="C93" s="50"/>
      <c r="D93" s="50"/>
      <c r="E93" s="50"/>
      <c r="F93" s="50"/>
      <c r="G93" s="50" t="s">
        <v>135</v>
      </c>
      <c r="H93" s="51">
        <v>0</v>
      </c>
      <c r="I93" s="51">
        <v>750</v>
      </c>
      <c r="J93" s="51">
        <v>750</v>
      </c>
      <c r="K93" s="51">
        <v>750</v>
      </c>
      <c r="L93" s="51">
        <v>600</v>
      </c>
      <c r="M93" s="51">
        <v>600</v>
      </c>
      <c r="N93" s="51">
        <v>0</v>
      </c>
      <c r="O93" s="51">
        <v>750</v>
      </c>
      <c r="P93" s="51">
        <v>600</v>
      </c>
      <c r="Q93" s="51">
        <v>750</v>
      </c>
      <c r="R93" s="51">
        <v>750</v>
      </c>
      <c r="S93" s="51">
        <v>1500</v>
      </c>
      <c r="T93" s="51"/>
      <c r="U93" s="51">
        <f t="shared" ref="U93:U124" si="34">ROUND(SUM(H93:T93),5)</f>
        <v>7800</v>
      </c>
      <c r="V93" s="67">
        <v>11250</v>
      </c>
      <c r="W93" s="67">
        <v>11250</v>
      </c>
      <c r="X93" s="68" t="s">
        <v>246</v>
      </c>
      <c r="AB93" s="86"/>
      <c r="AC93" s="86"/>
      <c r="AD93" s="86"/>
      <c r="AE93" s="86"/>
      <c r="AF93" s="86"/>
      <c r="AG93" s="86" t="s">
        <v>135</v>
      </c>
      <c r="AH93" s="87"/>
      <c r="AI93" s="87"/>
      <c r="AJ93" s="87"/>
      <c r="AK93" s="87"/>
      <c r="AL93" s="87">
        <v>0</v>
      </c>
      <c r="AM93" s="87">
        <v>750</v>
      </c>
      <c r="AN93" s="87">
        <v>750</v>
      </c>
      <c r="AO93" s="87">
        <v>1500</v>
      </c>
      <c r="AP93" s="87">
        <v>0</v>
      </c>
      <c r="AQ93" s="87">
        <v>750</v>
      </c>
      <c r="AR93" s="87">
        <v>0</v>
      </c>
      <c r="AS93" s="87">
        <v>750</v>
      </c>
      <c r="AT93" s="87">
        <v>750</v>
      </c>
      <c r="AU93" s="87">
        <v>1500</v>
      </c>
      <c r="AV93" s="87">
        <v>0</v>
      </c>
      <c r="AW93" s="87">
        <v>1500</v>
      </c>
      <c r="AX93" s="87"/>
      <c r="AY93" s="88">
        <f t="shared" ref="AY93:AY124" si="35">ROUND(SUM(AH93:AX93),5)</f>
        <v>8250</v>
      </c>
      <c r="AZ93" s="88">
        <v>10500</v>
      </c>
      <c r="BA93" s="88">
        <v>11250</v>
      </c>
      <c r="BB93" s="89" t="s">
        <v>246</v>
      </c>
    </row>
    <row r="94" spans="1:54" x14ac:dyDescent="0.3">
      <c r="A94" s="50"/>
      <c r="B94" s="50"/>
      <c r="C94" s="50"/>
      <c r="D94" s="50"/>
      <c r="E94" s="50"/>
      <c r="F94" s="50"/>
      <c r="G94" s="50" t="s">
        <v>136</v>
      </c>
      <c r="H94" s="51">
        <v>258.55</v>
      </c>
      <c r="I94" s="51">
        <v>206.84</v>
      </c>
      <c r="J94" s="51">
        <v>0</v>
      </c>
      <c r="K94" s="51">
        <v>210.34</v>
      </c>
      <c r="L94" s="51">
        <v>332.12</v>
      </c>
      <c r="M94" s="51">
        <v>403.48</v>
      </c>
      <c r="N94" s="51">
        <v>405.04</v>
      </c>
      <c r="O94" s="51">
        <v>200.52</v>
      </c>
      <c r="P94" s="51">
        <v>131.38999999999999</v>
      </c>
      <c r="Q94" s="51">
        <v>454.67</v>
      </c>
      <c r="R94" s="51">
        <v>340.52</v>
      </c>
      <c r="S94" s="51">
        <v>250</v>
      </c>
      <c r="T94" s="51"/>
      <c r="U94" s="51">
        <f t="shared" si="34"/>
        <v>3193.47</v>
      </c>
      <c r="V94" s="67">
        <v>3600</v>
      </c>
      <c r="W94" s="67">
        <v>3600</v>
      </c>
      <c r="AB94" s="86"/>
      <c r="AC94" s="86"/>
      <c r="AD94" s="86"/>
      <c r="AE94" s="86"/>
      <c r="AF94" s="86"/>
      <c r="AG94" s="86" t="s">
        <v>136</v>
      </c>
      <c r="AH94" s="87"/>
      <c r="AI94" s="87"/>
      <c r="AJ94" s="87"/>
      <c r="AK94" s="87"/>
      <c r="AL94" s="87">
        <v>343.33</v>
      </c>
      <c r="AM94" s="87">
        <v>145.52000000000001</v>
      </c>
      <c r="AN94" s="87">
        <v>48.86</v>
      </c>
      <c r="AO94" s="87">
        <v>178.2</v>
      </c>
      <c r="AP94" s="87">
        <v>34.76</v>
      </c>
      <c r="AQ94" s="87">
        <v>320.76</v>
      </c>
      <c r="AR94" s="87">
        <v>60.83</v>
      </c>
      <c r="AS94" s="87">
        <v>0</v>
      </c>
      <c r="AT94" s="87">
        <v>438.46</v>
      </c>
      <c r="AU94" s="87">
        <v>295.25</v>
      </c>
      <c r="AV94" s="87">
        <v>422.36</v>
      </c>
      <c r="AW94" s="87">
        <v>0</v>
      </c>
      <c r="AX94" s="87"/>
      <c r="AY94" s="88">
        <f t="shared" si="35"/>
        <v>2288.33</v>
      </c>
      <c r="AZ94" s="88">
        <v>3100</v>
      </c>
      <c r="BA94" s="88">
        <v>3600</v>
      </c>
      <c r="BB94" s="89" t="s">
        <v>250</v>
      </c>
    </row>
    <row r="95" spans="1:54" x14ac:dyDescent="0.3">
      <c r="A95" s="50"/>
      <c r="B95" s="50"/>
      <c r="C95" s="50"/>
      <c r="D95" s="50"/>
      <c r="E95" s="50"/>
      <c r="F95" s="50"/>
      <c r="G95" s="50" t="s">
        <v>137</v>
      </c>
      <c r="H95" s="51">
        <v>0</v>
      </c>
      <c r="I95" s="51">
        <v>260.75</v>
      </c>
      <c r="J95" s="51">
        <v>0</v>
      </c>
      <c r="K95" s="51">
        <v>260.63</v>
      </c>
      <c r="L95" s="51">
        <v>551.49</v>
      </c>
      <c r="M95" s="51">
        <v>0</v>
      </c>
      <c r="N95" s="51">
        <v>470.42</v>
      </c>
      <c r="O95" s="51">
        <v>210.39</v>
      </c>
      <c r="P95" s="51">
        <v>210.39</v>
      </c>
      <c r="Q95" s="51">
        <v>420.66</v>
      </c>
      <c r="R95" s="51">
        <v>0</v>
      </c>
      <c r="S95" s="51">
        <v>512.9</v>
      </c>
      <c r="T95" s="51"/>
      <c r="U95" s="51">
        <f t="shared" si="34"/>
        <v>2897.63</v>
      </c>
      <c r="V95" s="67">
        <v>3300</v>
      </c>
      <c r="W95" s="67">
        <v>3300</v>
      </c>
      <c r="AB95" s="86"/>
      <c r="AC95" s="86"/>
      <c r="AD95" s="86"/>
      <c r="AE95" s="86"/>
      <c r="AF95" s="86"/>
      <c r="AG95" s="86" t="s">
        <v>137</v>
      </c>
      <c r="AH95" s="87"/>
      <c r="AI95" s="87"/>
      <c r="AJ95" s="87"/>
      <c r="AK95" s="87"/>
      <c r="AL95" s="87">
        <v>241.34</v>
      </c>
      <c r="AM95" s="87">
        <v>372.18</v>
      </c>
      <c r="AN95" s="87">
        <v>296.32</v>
      </c>
      <c r="AO95" s="87">
        <v>0</v>
      </c>
      <c r="AP95" s="87">
        <v>517.34</v>
      </c>
      <c r="AQ95" s="87">
        <v>256.20999999999998</v>
      </c>
      <c r="AR95" s="87">
        <v>256.41000000000003</v>
      </c>
      <c r="AS95" s="87">
        <v>256.41000000000003</v>
      </c>
      <c r="AT95" s="87">
        <v>256.41000000000003</v>
      </c>
      <c r="AU95" s="87">
        <v>256.47000000000003</v>
      </c>
      <c r="AV95" s="87">
        <v>240.82</v>
      </c>
      <c r="AW95" s="87">
        <v>240.82</v>
      </c>
      <c r="AX95" s="87"/>
      <c r="AY95" s="88">
        <f t="shared" si="35"/>
        <v>3190.73</v>
      </c>
      <c r="AZ95" s="88">
        <v>3900</v>
      </c>
      <c r="BA95" s="88">
        <v>3300</v>
      </c>
      <c r="BB95" s="89"/>
    </row>
    <row r="96" spans="1:54" ht="13.8" customHeight="1" x14ac:dyDescent="0.3">
      <c r="A96" s="50"/>
      <c r="B96" s="50"/>
      <c r="C96" s="50"/>
      <c r="D96" s="50"/>
      <c r="E96" s="50"/>
      <c r="F96" s="50"/>
      <c r="G96" s="50" t="s">
        <v>138</v>
      </c>
      <c r="H96" s="51">
        <v>0</v>
      </c>
      <c r="I96" s="51">
        <v>0</v>
      </c>
      <c r="J96" s="51">
        <v>0</v>
      </c>
      <c r="K96" s="51">
        <v>0</v>
      </c>
      <c r="L96" s="51">
        <v>0</v>
      </c>
      <c r="M96" s="51">
        <v>0</v>
      </c>
      <c r="N96" s="51">
        <v>0</v>
      </c>
      <c r="O96" s="51">
        <v>0</v>
      </c>
      <c r="P96" s="51">
        <v>0</v>
      </c>
      <c r="Q96" s="51">
        <v>0</v>
      </c>
      <c r="R96" s="51">
        <v>0</v>
      </c>
      <c r="S96" s="51">
        <v>0</v>
      </c>
      <c r="T96" s="51"/>
      <c r="U96" s="51">
        <f t="shared" si="34"/>
        <v>0</v>
      </c>
      <c r="V96" s="67">
        <v>0</v>
      </c>
      <c r="W96" s="67">
        <v>1200</v>
      </c>
      <c r="X96" s="68" t="s">
        <v>295</v>
      </c>
      <c r="AB96" s="86"/>
      <c r="AC96" s="86"/>
      <c r="AD96" s="86"/>
      <c r="AE96" s="86"/>
      <c r="AF96" s="86"/>
      <c r="AG96" s="86" t="s">
        <v>138</v>
      </c>
      <c r="AH96" s="87"/>
      <c r="AI96" s="87"/>
      <c r="AJ96" s="87"/>
      <c r="AK96" s="87"/>
      <c r="AL96" s="87">
        <v>0</v>
      </c>
      <c r="AM96" s="87">
        <v>0</v>
      </c>
      <c r="AN96" s="87">
        <v>0</v>
      </c>
      <c r="AO96" s="87">
        <v>0</v>
      </c>
      <c r="AP96" s="87">
        <v>0</v>
      </c>
      <c r="AQ96" s="87">
        <v>0</v>
      </c>
      <c r="AR96" s="87">
        <v>0</v>
      </c>
      <c r="AS96" s="87">
        <v>0</v>
      </c>
      <c r="AT96" s="87">
        <v>0</v>
      </c>
      <c r="AU96" s="87">
        <v>0</v>
      </c>
      <c r="AV96" s="87">
        <v>0</v>
      </c>
      <c r="AW96" s="87">
        <v>0</v>
      </c>
      <c r="AX96" s="87"/>
      <c r="AY96" s="88">
        <f t="shared" si="35"/>
        <v>0</v>
      </c>
      <c r="AZ96" s="88">
        <v>1100</v>
      </c>
      <c r="BA96" s="88">
        <v>0</v>
      </c>
      <c r="BB96" s="89" t="s">
        <v>248</v>
      </c>
    </row>
    <row r="97" spans="1:54" x14ac:dyDescent="0.3">
      <c r="A97" s="50"/>
      <c r="B97" s="50"/>
      <c r="C97" s="50"/>
      <c r="D97" s="50"/>
      <c r="E97" s="50"/>
      <c r="F97" s="50"/>
      <c r="G97" s="50" t="s">
        <v>139</v>
      </c>
      <c r="H97" s="51">
        <v>1321.74</v>
      </c>
      <c r="I97" s="51">
        <v>1321.74</v>
      </c>
      <c r="J97" s="51">
        <v>1321.74</v>
      </c>
      <c r="K97" s="51">
        <v>1321.74</v>
      </c>
      <c r="L97" s="51">
        <v>1371.24</v>
      </c>
      <c r="M97" s="51">
        <v>1371.24</v>
      </c>
      <c r="N97" s="51">
        <v>1371.24</v>
      </c>
      <c r="O97" s="51">
        <v>1371.24</v>
      </c>
      <c r="P97" s="51">
        <v>1371.24</v>
      </c>
      <c r="Q97" s="51">
        <v>1424.65</v>
      </c>
      <c r="R97" s="51">
        <v>1371.24</v>
      </c>
      <c r="S97" s="51">
        <v>1371.24</v>
      </c>
      <c r="T97" s="51"/>
      <c r="U97" s="51">
        <f t="shared" si="34"/>
        <v>16310.29</v>
      </c>
      <c r="V97" s="67">
        <v>15900</v>
      </c>
      <c r="W97" s="67">
        <v>20500</v>
      </c>
      <c r="X97" s="68" t="s">
        <v>302</v>
      </c>
      <c r="AB97" s="86"/>
      <c r="AC97" s="86"/>
      <c r="AD97" s="86"/>
      <c r="AE97" s="86"/>
      <c r="AF97" s="86"/>
      <c r="AG97" s="86" t="s">
        <v>139</v>
      </c>
      <c r="AH97" s="87"/>
      <c r="AI97" s="87"/>
      <c r="AJ97" s="87"/>
      <c r="AK97" s="87"/>
      <c r="AL97" s="87">
        <v>1196.9100000000001</v>
      </c>
      <c r="AM97" s="87">
        <v>1196.9100000000001</v>
      </c>
      <c r="AN97" s="87">
        <v>1196.9100000000001</v>
      </c>
      <c r="AO97" s="87">
        <v>1196.9100000000001</v>
      </c>
      <c r="AP97" s="87">
        <v>1196.9100000000001</v>
      </c>
      <c r="AQ97" s="87">
        <v>1196.9100000000001</v>
      </c>
      <c r="AR97" s="87">
        <v>1196.9100000000001</v>
      </c>
      <c r="AS97" s="87">
        <v>1196.9100000000001</v>
      </c>
      <c r="AT97" s="87">
        <v>1196.9100000000001</v>
      </c>
      <c r="AU97" s="87">
        <v>1196.9100000000001</v>
      </c>
      <c r="AV97" s="87">
        <v>1196.9100000000001</v>
      </c>
      <c r="AW97" s="87">
        <v>1196.9100000000001</v>
      </c>
      <c r="AX97" s="87"/>
      <c r="AY97" s="88">
        <f t="shared" si="35"/>
        <v>14362.92</v>
      </c>
      <c r="AZ97" s="88">
        <v>14400</v>
      </c>
      <c r="BA97" s="88">
        <v>15900</v>
      </c>
      <c r="BB97" s="89" t="s">
        <v>255</v>
      </c>
    </row>
    <row r="98" spans="1:54" x14ac:dyDescent="0.3">
      <c r="A98" s="50"/>
      <c r="B98" s="50"/>
      <c r="C98" s="50"/>
      <c r="D98" s="50"/>
      <c r="E98" s="50"/>
      <c r="F98" s="50"/>
      <c r="G98" s="50" t="s">
        <v>140</v>
      </c>
      <c r="H98" s="51">
        <v>0</v>
      </c>
      <c r="I98" s="51">
        <v>120</v>
      </c>
      <c r="J98" s="51">
        <v>0</v>
      </c>
      <c r="K98" s="51">
        <v>2669</v>
      </c>
      <c r="L98" s="51">
        <v>284</v>
      </c>
      <c r="M98" s="51">
        <v>0</v>
      </c>
      <c r="N98" s="51">
        <v>0</v>
      </c>
      <c r="O98" s="51">
        <v>175</v>
      </c>
      <c r="P98" s="51">
        <v>0</v>
      </c>
      <c r="Q98" s="51">
        <v>300</v>
      </c>
      <c r="R98" s="51">
        <v>0</v>
      </c>
      <c r="S98" s="51">
        <v>0</v>
      </c>
      <c r="T98" s="51"/>
      <c r="U98" s="51">
        <f t="shared" si="34"/>
        <v>3548</v>
      </c>
      <c r="V98" s="67">
        <v>2600</v>
      </c>
      <c r="W98" s="67">
        <v>3600</v>
      </c>
      <c r="X98" s="68" t="s">
        <v>258</v>
      </c>
      <c r="AB98" s="86"/>
      <c r="AC98" s="86"/>
      <c r="AD98" s="86"/>
      <c r="AE98" s="86"/>
      <c r="AF98" s="86"/>
      <c r="AG98" s="86" t="s">
        <v>140</v>
      </c>
      <c r="AH98" s="87"/>
      <c r="AI98" s="87"/>
      <c r="AJ98" s="87"/>
      <c r="AK98" s="87"/>
      <c r="AL98" s="87">
        <v>120</v>
      </c>
      <c r="AM98" s="87">
        <v>75</v>
      </c>
      <c r="AN98" s="87">
        <v>0</v>
      </c>
      <c r="AO98" s="87">
        <v>0</v>
      </c>
      <c r="AP98" s="87">
        <v>395</v>
      </c>
      <c r="AQ98" s="87">
        <v>1230</v>
      </c>
      <c r="AR98" s="87">
        <v>584</v>
      </c>
      <c r="AS98" s="87">
        <v>0</v>
      </c>
      <c r="AT98" s="87">
        <v>0</v>
      </c>
      <c r="AU98" s="87">
        <v>0</v>
      </c>
      <c r="AV98" s="87">
        <v>0</v>
      </c>
      <c r="AW98" s="87">
        <v>0</v>
      </c>
      <c r="AX98" s="87"/>
      <c r="AY98" s="88">
        <f t="shared" si="35"/>
        <v>2404</v>
      </c>
      <c r="AZ98" s="88">
        <v>2600</v>
      </c>
      <c r="BA98" s="88">
        <v>2600</v>
      </c>
      <c r="BB98" s="89"/>
    </row>
    <row r="99" spans="1:54" x14ac:dyDescent="0.3">
      <c r="A99" s="50"/>
      <c r="B99" s="50"/>
      <c r="C99" s="50"/>
      <c r="D99" s="50"/>
      <c r="E99" s="50"/>
      <c r="F99" s="50"/>
      <c r="G99" s="50" t="s">
        <v>141</v>
      </c>
      <c r="H99" s="51">
        <v>16</v>
      </c>
      <c r="I99" s="51">
        <v>16</v>
      </c>
      <c r="J99" s="51">
        <v>16</v>
      </c>
      <c r="K99" s="51">
        <v>16</v>
      </c>
      <c r="L99" s="51">
        <v>31</v>
      </c>
      <c r="M99" s="51">
        <v>16</v>
      </c>
      <c r="N99" s="51">
        <v>16</v>
      </c>
      <c r="O99" s="51">
        <v>26</v>
      </c>
      <c r="P99" s="51">
        <v>16</v>
      </c>
      <c r="Q99" s="51">
        <v>26</v>
      </c>
      <c r="R99" s="51">
        <v>16</v>
      </c>
      <c r="S99" s="51">
        <v>16</v>
      </c>
      <c r="T99" s="51"/>
      <c r="U99" s="51">
        <f t="shared" si="34"/>
        <v>227</v>
      </c>
      <c r="V99" s="67">
        <v>300</v>
      </c>
      <c r="W99" s="67">
        <v>300</v>
      </c>
      <c r="AB99" s="86"/>
      <c r="AC99" s="86"/>
      <c r="AD99" s="86"/>
      <c r="AE99" s="86"/>
      <c r="AF99" s="86"/>
      <c r="AG99" s="86" t="s">
        <v>141</v>
      </c>
      <c r="AH99" s="87"/>
      <c r="AI99" s="87"/>
      <c r="AJ99" s="87"/>
      <c r="AK99" s="87"/>
      <c r="AL99" s="87">
        <v>21</v>
      </c>
      <c r="AM99" s="87">
        <v>21</v>
      </c>
      <c r="AN99" s="87">
        <v>21</v>
      </c>
      <c r="AO99" s="87">
        <v>56</v>
      </c>
      <c r="AP99" s="87">
        <v>21</v>
      </c>
      <c r="AQ99" s="87">
        <v>21</v>
      </c>
      <c r="AR99" s="87">
        <v>21</v>
      </c>
      <c r="AS99" s="87">
        <v>16</v>
      </c>
      <c r="AT99" s="87">
        <v>16</v>
      </c>
      <c r="AU99" s="87">
        <v>16</v>
      </c>
      <c r="AV99" s="87">
        <v>21</v>
      </c>
      <c r="AW99" s="87">
        <v>21</v>
      </c>
      <c r="AX99" s="87"/>
      <c r="AY99" s="88">
        <f t="shared" si="35"/>
        <v>272</v>
      </c>
      <c r="AZ99" s="88">
        <v>800</v>
      </c>
      <c r="BA99" s="88">
        <v>300</v>
      </c>
      <c r="BB99" s="89"/>
    </row>
    <row r="100" spans="1:54" x14ac:dyDescent="0.3">
      <c r="A100" s="50"/>
      <c r="B100" s="50"/>
      <c r="C100" s="50"/>
      <c r="D100" s="50"/>
      <c r="E100" s="50"/>
      <c r="F100" s="50"/>
      <c r="G100" s="50" t="s">
        <v>142</v>
      </c>
      <c r="H100" s="51">
        <v>0</v>
      </c>
      <c r="I100" s="51">
        <v>0</v>
      </c>
      <c r="J100" s="51">
        <v>0</v>
      </c>
      <c r="K100" s="51">
        <v>0</v>
      </c>
      <c r="L100" s="51">
        <v>0</v>
      </c>
      <c r="M100" s="51">
        <v>0</v>
      </c>
      <c r="N100" s="51">
        <v>0</v>
      </c>
      <c r="O100" s="51">
        <v>0</v>
      </c>
      <c r="P100" s="51">
        <v>0</v>
      </c>
      <c r="Q100" s="51">
        <v>149.9</v>
      </c>
      <c r="R100" s="51">
        <v>2.99</v>
      </c>
      <c r="S100" s="51">
        <v>0</v>
      </c>
      <c r="T100" s="51"/>
      <c r="U100" s="51">
        <f t="shared" si="34"/>
        <v>152.88999999999999</v>
      </c>
      <c r="V100" s="67">
        <v>2000</v>
      </c>
      <c r="W100" s="67">
        <v>500</v>
      </c>
      <c r="AB100" s="86"/>
      <c r="AC100" s="86"/>
      <c r="AD100" s="86"/>
      <c r="AE100" s="86"/>
      <c r="AF100" s="86"/>
      <c r="AG100" s="86" t="s">
        <v>142</v>
      </c>
      <c r="AH100" s="87"/>
      <c r="AI100" s="87"/>
      <c r="AJ100" s="87"/>
      <c r="AK100" s="87"/>
      <c r="AL100" s="87">
        <v>0</v>
      </c>
      <c r="AM100" s="87">
        <v>0</v>
      </c>
      <c r="AN100" s="87">
        <v>0</v>
      </c>
      <c r="AO100" s="87">
        <v>0</v>
      </c>
      <c r="AP100" s="87">
        <v>837.34</v>
      </c>
      <c r="AQ100" s="87">
        <v>0</v>
      </c>
      <c r="AR100" s="87">
        <v>0</v>
      </c>
      <c r="AS100" s="87">
        <v>0</v>
      </c>
      <c r="AT100" s="87">
        <v>0</v>
      </c>
      <c r="AU100" s="87">
        <v>0</v>
      </c>
      <c r="AV100" s="87">
        <v>0</v>
      </c>
      <c r="AW100" s="87">
        <v>1850</v>
      </c>
      <c r="AX100" s="87"/>
      <c r="AY100" s="88">
        <f t="shared" si="35"/>
        <v>2687.34</v>
      </c>
      <c r="AZ100" s="88">
        <v>1500</v>
      </c>
      <c r="BA100" s="88">
        <v>2000</v>
      </c>
      <c r="BB100" s="89" t="s">
        <v>258</v>
      </c>
    </row>
    <row r="101" spans="1:54" x14ac:dyDescent="0.3">
      <c r="A101" s="50"/>
      <c r="B101" s="50"/>
      <c r="C101" s="50"/>
      <c r="D101" s="50"/>
      <c r="E101" s="50"/>
      <c r="F101" s="50"/>
      <c r="G101" s="50" t="s">
        <v>143</v>
      </c>
      <c r="H101" s="51">
        <v>2.99</v>
      </c>
      <c r="I101" s="51">
        <v>356.44</v>
      </c>
      <c r="J101" s="51">
        <v>356.92</v>
      </c>
      <c r="K101" s="51">
        <v>356.92</v>
      </c>
      <c r="L101" s="51">
        <v>848.03</v>
      </c>
      <c r="M101" s="51">
        <v>497.98</v>
      </c>
      <c r="N101" s="51">
        <v>354.64</v>
      </c>
      <c r="O101" s="51">
        <v>371.91</v>
      </c>
      <c r="P101" s="51">
        <v>815.47</v>
      </c>
      <c r="Q101" s="51">
        <v>374.57</v>
      </c>
      <c r="R101" s="51">
        <v>0</v>
      </c>
      <c r="S101" s="51">
        <v>566.09</v>
      </c>
      <c r="T101" s="51"/>
      <c r="U101" s="51">
        <f t="shared" si="34"/>
        <v>4901.96</v>
      </c>
      <c r="V101" s="67">
        <v>7000</v>
      </c>
      <c r="W101" s="67">
        <v>7000</v>
      </c>
      <c r="AB101" s="86"/>
      <c r="AC101" s="86"/>
      <c r="AD101" s="86"/>
      <c r="AE101" s="86"/>
      <c r="AF101" s="86"/>
      <c r="AG101" s="86" t="s">
        <v>143</v>
      </c>
      <c r="AH101" s="87"/>
      <c r="AI101" s="87"/>
      <c r="AJ101" s="87"/>
      <c r="AK101" s="87"/>
      <c r="AL101" s="87">
        <v>2.99</v>
      </c>
      <c r="AM101" s="87">
        <v>488.86</v>
      </c>
      <c r="AN101" s="87">
        <v>346.22</v>
      </c>
      <c r="AO101" s="87">
        <v>418.45</v>
      </c>
      <c r="AP101" s="87">
        <v>349.26</v>
      </c>
      <c r="AQ101" s="87">
        <v>350.07</v>
      </c>
      <c r="AR101" s="87">
        <v>620.41999999999996</v>
      </c>
      <c r="AS101" s="87">
        <v>349.84</v>
      </c>
      <c r="AT101" s="87">
        <v>350.02</v>
      </c>
      <c r="AU101" s="87">
        <v>496.21</v>
      </c>
      <c r="AV101" s="87">
        <v>887.43</v>
      </c>
      <c r="AW101" s="87">
        <v>361.82</v>
      </c>
      <c r="AX101" s="87"/>
      <c r="AY101" s="88">
        <f t="shared" si="35"/>
        <v>5021.59</v>
      </c>
      <c r="AZ101" s="88">
        <v>7000</v>
      </c>
      <c r="BA101" s="88">
        <v>7000</v>
      </c>
      <c r="BB101" s="89"/>
    </row>
    <row r="102" spans="1:54" x14ac:dyDescent="0.3">
      <c r="A102" s="50"/>
      <c r="B102" s="50"/>
      <c r="C102" s="50"/>
      <c r="D102" s="50"/>
      <c r="E102" s="50"/>
      <c r="F102" s="50"/>
      <c r="G102" s="50" t="s">
        <v>144</v>
      </c>
      <c r="H102" s="51">
        <v>0</v>
      </c>
      <c r="I102" s="51">
        <v>0</v>
      </c>
      <c r="J102" s="51">
        <v>0</v>
      </c>
      <c r="K102" s="51">
        <v>0</v>
      </c>
      <c r="L102" s="51">
        <v>0</v>
      </c>
      <c r="M102" s="51">
        <v>0</v>
      </c>
      <c r="N102" s="51">
        <v>418.65</v>
      </c>
      <c r="O102" s="51">
        <v>0</v>
      </c>
      <c r="P102" s="51">
        <v>270.52</v>
      </c>
      <c r="Q102" s="51">
        <v>0</v>
      </c>
      <c r="R102" s="51">
        <v>0</v>
      </c>
      <c r="S102" s="51">
        <v>0</v>
      </c>
      <c r="T102" s="51"/>
      <c r="U102" s="51">
        <f t="shared" si="34"/>
        <v>689.17</v>
      </c>
      <c r="V102" s="67">
        <v>0</v>
      </c>
      <c r="W102" s="67">
        <v>1000</v>
      </c>
      <c r="X102" s="68" t="s">
        <v>296</v>
      </c>
      <c r="AB102" s="86"/>
      <c r="AC102" s="86"/>
      <c r="AD102" s="86"/>
      <c r="AE102" s="86"/>
      <c r="AF102" s="86"/>
      <c r="AG102" s="86" t="s">
        <v>144</v>
      </c>
      <c r="AH102" s="87"/>
      <c r="AI102" s="87"/>
      <c r="AJ102" s="87"/>
      <c r="AK102" s="87"/>
      <c r="AL102" s="87">
        <v>0</v>
      </c>
      <c r="AM102" s="87">
        <v>0</v>
      </c>
      <c r="AN102" s="87">
        <v>0</v>
      </c>
      <c r="AO102" s="87">
        <v>0</v>
      </c>
      <c r="AP102" s="87">
        <v>0</v>
      </c>
      <c r="AQ102" s="87">
        <v>0</v>
      </c>
      <c r="AR102" s="87">
        <v>0</v>
      </c>
      <c r="AS102" s="87">
        <v>0</v>
      </c>
      <c r="AT102" s="87">
        <v>0</v>
      </c>
      <c r="AU102" s="87">
        <v>0</v>
      </c>
      <c r="AV102" s="87">
        <v>0</v>
      </c>
      <c r="AW102" s="87">
        <v>0</v>
      </c>
      <c r="AX102" s="87"/>
      <c r="AY102" s="88">
        <f t="shared" si="35"/>
        <v>0</v>
      </c>
      <c r="AZ102" s="88">
        <v>1200</v>
      </c>
      <c r="BA102" s="88">
        <v>0</v>
      </c>
      <c r="BB102" s="89" t="s">
        <v>248</v>
      </c>
    </row>
    <row r="103" spans="1:54" x14ac:dyDescent="0.3">
      <c r="A103" s="50"/>
      <c r="B103" s="50"/>
      <c r="C103" s="50"/>
      <c r="D103" s="50"/>
      <c r="E103" s="50"/>
      <c r="F103" s="50"/>
      <c r="G103" s="50" t="s">
        <v>145</v>
      </c>
      <c r="H103" s="51">
        <v>364.31</v>
      </c>
      <c r="I103" s="51">
        <v>41.55</v>
      </c>
      <c r="J103" s="51">
        <v>778.44</v>
      </c>
      <c r="K103" s="51">
        <v>71.599999999999994</v>
      </c>
      <c r="L103" s="51">
        <v>0</v>
      </c>
      <c r="M103" s="51">
        <v>601.58000000000004</v>
      </c>
      <c r="N103" s="51">
        <v>0</v>
      </c>
      <c r="O103" s="51">
        <v>0</v>
      </c>
      <c r="P103" s="51">
        <v>411.56</v>
      </c>
      <c r="Q103" s="51">
        <v>137.16999999999999</v>
      </c>
      <c r="R103" s="51">
        <v>0</v>
      </c>
      <c r="S103" s="51">
        <v>134.16</v>
      </c>
      <c r="T103" s="51"/>
      <c r="U103" s="51">
        <f t="shared" si="34"/>
        <v>2540.37</v>
      </c>
      <c r="V103" s="67">
        <v>3000</v>
      </c>
      <c r="W103" s="67">
        <v>3000</v>
      </c>
      <c r="AB103" s="86"/>
      <c r="AC103" s="86"/>
      <c r="AD103" s="86"/>
      <c r="AE103" s="86"/>
      <c r="AF103" s="86"/>
      <c r="AG103" s="86" t="s">
        <v>145</v>
      </c>
      <c r="AH103" s="87"/>
      <c r="AI103" s="87"/>
      <c r="AJ103" s="87"/>
      <c r="AK103" s="87"/>
      <c r="AL103" s="87">
        <v>195.95</v>
      </c>
      <c r="AM103" s="87">
        <v>275.38</v>
      </c>
      <c r="AN103" s="87">
        <v>60.79</v>
      </c>
      <c r="AO103" s="87">
        <v>107.39</v>
      </c>
      <c r="AP103" s="87">
        <v>191.56</v>
      </c>
      <c r="AQ103" s="87">
        <v>69.58</v>
      </c>
      <c r="AR103" s="87">
        <v>0</v>
      </c>
      <c r="AS103" s="87">
        <v>89.08</v>
      </c>
      <c r="AT103" s="87">
        <v>113.48</v>
      </c>
      <c r="AU103" s="87">
        <v>162.65</v>
      </c>
      <c r="AV103" s="87">
        <v>59.88</v>
      </c>
      <c r="AW103" s="87">
        <v>17.399999999999999</v>
      </c>
      <c r="AX103" s="87"/>
      <c r="AY103" s="88">
        <f t="shared" si="35"/>
        <v>1343.14</v>
      </c>
      <c r="AZ103" s="88">
        <v>3000</v>
      </c>
      <c r="BA103" s="88">
        <v>3000</v>
      </c>
      <c r="BB103" s="89"/>
    </row>
    <row r="104" spans="1:54" x14ac:dyDescent="0.3">
      <c r="A104" s="50"/>
      <c r="B104" s="50"/>
      <c r="C104" s="50"/>
      <c r="D104" s="50"/>
      <c r="E104" s="50"/>
      <c r="F104" s="50"/>
      <c r="G104" s="50" t="s">
        <v>146</v>
      </c>
      <c r="H104" s="51">
        <v>0</v>
      </c>
      <c r="I104" s="51">
        <v>0</v>
      </c>
      <c r="J104" s="51">
        <v>160.51</v>
      </c>
      <c r="K104" s="51">
        <v>232</v>
      </c>
      <c r="L104" s="51">
        <v>0</v>
      </c>
      <c r="M104" s="51">
        <v>0</v>
      </c>
      <c r="N104" s="51">
        <v>0</v>
      </c>
      <c r="O104" s="51">
        <v>0</v>
      </c>
      <c r="P104" s="51">
        <v>0</v>
      </c>
      <c r="Q104" s="51">
        <v>232</v>
      </c>
      <c r="R104" s="51">
        <v>0</v>
      </c>
      <c r="S104" s="51">
        <v>245</v>
      </c>
      <c r="T104" s="51"/>
      <c r="U104" s="51">
        <f t="shared" si="34"/>
        <v>869.51</v>
      </c>
      <c r="V104" s="67">
        <v>1000</v>
      </c>
      <c r="W104" s="67">
        <v>1000</v>
      </c>
      <c r="AB104" s="86"/>
      <c r="AC104" s="86"/>
      <c r="AD104" s="86"/>
      <c r="AE104" s="86"/>
      <c r="AF104" s="86"/>
      <c r="AG104" s="86" t="s">
        <v>146</v>
      </c>
      <c r="AH104" s="87"/>
      <c r="AI104" s="87"/>
      <c r="AJ104" s="87"/>
      <c r="AK104" s="87"/>
      <c r="AL104" s="87">
        <v>110</v>
      </c>
      <c r="AM104" s="87">
        <v>0</v>
      </c>
      <c r="AN104" s="87">
        <v>136.35</v>
      </c>
      <c r="AO104" s="87">
        <v>0</v>
      </c>
      <c r="AP104" s="87">
        <v>0</v>
      </c>
      <c r="AQ104" s="87">
        <v>0</v>
      </c>
      <c r="AR104" s="87">
        <v>220</v>
      </c>
      <c r="AS104" s="87">
        <v>0</v>
      </c>
      <c r="AT104" s="87">
        <v>0</v>
      </c>
      <c r="AU104" s="87">
        <v>44.39</v>
      </c>
      <c r="AV104" s="87">
        <v>0</v>
      </c>
      <c r="AW104" s="87">
        <v>240</v>
      </c>
      <c r="AX104" s="87"/>
      <c r="AY104" s="88">
        <f t="shared" si="35"/>
        <v>750.74</v>
      </c>
      <c r="AZ104" s="88">
        <v>1000</v>
      </c>
      <c r="BA104" s="88">
        <v>1000</v>
      </c>
      <c r="BB104" s="89"/>
    </row>
    <row r="105" spans="1:54" x14ac:dyDescent="0.3">
      <c r="A105" s="50"/>
      <c r="B105" s="50"/>
      <c r="C105" s="50"/>
      <c r="D105" s="50"/>
      <c r="E105" s="50"/>
      <c r="F105" s="50"/>
      <c r="G105" s="50" t="s">
        <v>147</v>
      </c>
      <c r="H105" s="51">
        <v>0</v>
      </c>
      <c r="I105" s="51">
        <v>0</v>
      </c>
      <c r="J105" s="51">
        <v>0</v>
      </c>
      <c r="K105" s="51">
        <v>0</v>
      </c>
      <c r="L105" s="51">
        <v>803.32</v>
      </c>
      <c r="M105" s="51">
        <v>0</v>
      </c>
      <c r="N105" s="51">
        <v>0</v>
      </c>
      <c r="O105" s="51">
        <v>0</v>
      </c>
      <c r="P105" s="51">
        <v>5.98</v>
      </c>
      <c r="Q105" s="51">
        <v>0</v>
      </c>
      <c r="R105" s="51">
        <v>0</v>
      </c>
      <c r="S105" s="51">
        <v>369.97</v>
      </c>
      <c r="T105" s="51"/>
      <c r="U105" s="51">
        <f t="shared" si="34"/>
        <v>1179.27</v>
      </c>
      <c r="V105" s="67">
        <v>2500</v>
      </c>
      <c r="W105" s="67">
        <v>2500</v>
      </c>
      <c r="AB105" s="86"/>
      <c r="AC105" s="86"/>
      <c r="AD105" s="86"/>
      <c r="AE105" s="86"/>
      <c r="AF105" s="86"/>
      <c r="AG105" s="86" t="s">
        <v>147</v>
      </c>
      <c r="AH105" s="87"/>
      <c r="AI105" s="87"/>
      <c r="AJ105" s="87"/>
      <c r="AK105" s="87"/>
      <c r="AL105" s="87">
        <v>42.34</v>
      </c>
      <c r="AM105" s="87">
        <v>0</v>
      </c>
      <c r="AN105" s="87">
        <v>0</v>
      </c>
      <c r="AO105" s="87">
        <v>0</v>
      </c>
      <c r="AP105" s="87">
        <v>0</v>
      </c>
      <c r="AQ105" s="87">
        <v>0</v>
      </c>
      <c r="AR105" s="87">
        <v>0</v>
      </c>
      <c r="AS105" s="87">
        <v>0</v>
      </c>
      <c r="AT105" s="87">
        <v>0</v>
      </c>
      <c r="AU105" s="87">
        <v>195.72</v>
      </c>
      <c r="AV105" s="87">
        <v>570.48</v>
      </c>
      <c r="AW105" s="87">
        <v>2.99</v>
      </c>
      <c r="AX105" s="87"/>
      <c r="AY105" s="88">
        <f t="shared" si="35"/>
        <v>811.53</v>
      </c>
      <c r="AZ105" s="88">
        <v>4000</v>
      </c>
      <c r="BA105" s="88">
        <v>2500</v>
      </c>
      <c r="BB105" s="89"/>
    </row>
    <row r="106" spans="1:54" x14ac:dyDescent="0.3">
      <c r="A106" s="50"/>
      <c r="B106" s="50"/>
      <c r="C106" s="50"/>
      <c r="D106" s="50"/>
      <c r="E106" s="50"/>
      <c r="F106" s="50"/>
      <c r="G106" s="50" t="s">
        <v>232</v>
      </c>
      <c r="H106" s="51">
        <v>92.05</v>
      </c>
      <c r="I106" s="51">
        <v>0</v>
      </c>
      <c r="J106" s="51">
        <v>0</v>
      </c>
      <c r="K106" s="51">
        <v>0</v>
      </c>
      <c r="L106" s="51">
        <v>0</v>
      </c>
      <c r="M106" s="51">
        <v>0</v>
      </c>
      <c r="N106" s="51">
        <v>0</v>
      </c>
      <c r="O106" s="51">
        <v>53.22</v>
      </c>
      <c r="P106" s="51">
        <v>0</v>
      </c>
      <c r="Q106" s="51">
        <v>30.5</v>
      </c>
      <c r="R106" s="51">
        <v>0</v>
      </c>
      <c r="S106" s="51">
        <v>0</v>
      </c>
      <c r="T106" s="51"/>
      <c r="U106" s="51">
        <f t="shared" si="34"/>
        <v>175.77</v>
      </c>
      <c r="V106" s="67">
        <v>2400</v>
      </c>
      <c r="W106" s="67">
        <v>2400</v>
      </c>
      <c r="AB106" s="86"/>
      <c r="AC106" s="86"/>
      <c r="AD106" s="86"/>
      <c r="AE106" s="86"/>
      <c r="AF106" s="86"/>
      <c r="AG106" s="86" t="s">
        <v>232</v>
      </c>
      <c r="AH106" s="87"/>
      <c r="AI106" s="87"/>
      <c r="AJ106" s="87"/>
      <c r="AK106" s="87"/>
      <c r="AL106" s="87">
        <v>0</v>
      </c>
      <c r="AM106" s="87">
        <v>22.04</v>
      </c>
      <c r="AN106" s="87">
        <v>0</v>
      </c>
      <c r="AO106" s="87">
        <v>0</v>
      </c>
      <c r="AP106" s="87">
        <v>0</v>
      </c>
      <c r="AQ106" s="87">
        <v>0</v>
      </c>
      <c r="AR106" s="87">
        <v>0</v>
      </c>
      <c r="AS106" s="87">
        <v>0</v>
      </c>
      <c r="AT106" s="87">
        <v>0</v>
      </c>
      <c r="AU106" s="87">
        <v>0</v>
      </c>
      <c r="AV106" s="87">
        <v>0</v>
      </c>
      <c r="AW106" s="87">
        <v>0</v>
      </c>
      <c r="AX106" s="87"/>
      <c r="AY106" s="88">
        <f t="shared" si="35"/>
        <v>22.04</v>
      </c>
      <c r="AZ106" s="88">
        <v>0</v>
      </c>
      <c r="BA106" s="88">
        <v>2400</v>
      </c>
      <c r="BB106" s="89" t="s">
        <v>249</v>
      </c>
    </row>
    <row r="107" spans="1:54" x14ac:dyDescent="0.3">
      <c r="A107" s="50"/>
      <c r="B107" s="50"/>
      <c r="C107" s="50"/>
      <c r="D107" s="50"/>
      <c r="E107" s="50"/>
      <c r="F107" s="50"/>
      <c r="G107" s="50" t="s">
        <v>148</v>
      </c>
      <c r="H107" s="51">
        <v>115</v>
      </c>
      <c r="I107" s="51">
        <v>115</v>
      </c>
      <c r="J107" s="51">
        <v>230</v>
      </c>
      <c r="K107" s="51">
        <v>0</v>
      </c>
      <c r="L107" s="51">
        <v>115</v>
      </c>
      <c r="M107" s="51">
        <v>115</v>
      </c>
      <c r="N107" s="51">
        <v>115</v>
      </c>
      <c r="O107" s="51">
        <v>115</v>
      </c>
      <c r="P107" s="51">
        <v>115</v>
      </c>
      <c r="Q107" s="51">
        <v>115</v>
      </c>
      <c r="R107" s="51">
        <v>115</v>
      </c>
      <c r="S107" s="51">
        <v>115</v>
      </c>
      <c r="T107" s="51"/>
      <c r="U107" s="51">
        <f t="shared" si="34"/>
        <v>1380</v>
      </c>
      <c r="V107" s="67">
        <v>1400</v>
      </c>
      <c r="W107" s="67">
        <v>1400</v>
      </c>
      <c r="AB107" s="86"/>
      <c r="AC107" s="86"/>
      <c r="AD107" s="86"/>
      <c r="AE107" s="86"/>
      <c r="AF107" s="86"/>
      <c r="AG107" s="86" t="s">
        <v>148</v>
      </c>
      <c r="AH107" s="87"/>
      <c r="AI107" s="87"/>
      <c r="AJ107" s="87"/>
      <c r="AK107" s="87"/>
      <c r="AL107" s="87">
        <v>116</v>
      </c>
      <c r="AM107" s="87">
        <v>116</v>
      </c>
      <c r="AN107" s="87">
        <v>241</v>
      </c>
      <c r="AO107" s="87">
        <v>0</v>
      </c>
      <c r="AP107" s="87">
        <v>115</v>
      </c>
      <c r="AQ107" s="87">
        <v>115</v>
      </c>
      <c r="AR107" s="87">
        <v>115</v>
      </c>
      <c r="AS107" s="87">
        <v>230</v>
      </c>
      <c r="AT107" s="87">
        <v>0</v>
      </c>
      <c r="AU107" s="87">
        <v>115</v>
      </c>
      <c r="AV107" s="87">
        <v>116</v>
      </c>
      <c r="AW107" s="87">
        <v>116</v>
      </c>
      <c r="AX107" s="87"/>
      <c r="AY107" s="88">
        <f t="shared" si="35"/>
        <v>1395</v>
      </c>
      <c r="AZ107" s="88">
        <v>1500</v>
      </c>
      <c r="BA107" s="88">
        <v>1400</v>
      </c>
      <c r="BB107" s="89"/>
    </row>
    <row r="108" spans="1:54" x14ac:dyDescent="0.3">
      <c r="A108" s="50"/>
      <c r="B108" s="50"/>
      <c r="C108" s="50"/>
      <c r="D108" s="50"/>
      <c r="E108" s="50"/>
      <c r="F108" s="50"/>
      <c r="G108" s="50" t="s">
        <v>149</v>
      </c>
      <c r="H108" s="51">
        <v>287.19</v>
      </c>
      <c r="I108" s="51">
        <v>277.58999999999997</v>
      </c>
      <c r="J108" s="51">
        <v>296</v>
      </c>
      <c r="K108" s="51">
        <v>391.54</v>
      </c>
      <c r="L108" s="51">
        <v>266.11</v>
      </c>
      <c r="M108" s="51">
        <v>294.98</v>
      </c>
      <c r="N108" s="51">
        <v>436.26</v>
      </c>
      <c r="O108" s="51">
        <v>30.18</v>
      </c>
      <c r="P108" s="51">
        <v>26.68</v>
      </c>
      <c r="Q108" s="51">
        <v>428.65</v>
      </c>
      <c r="R108" s="51">
        <v>287.55</v>
      </c>
      <c r="S108" s="51">
        <v>270.11</v>
      </c>
      <c r="T108" s="51"/>
      <c r="U108" s="51">
        <f t="shared" si="34"/>
        <v>3292.84</v>
      </c>
      <c r="V108" s="67">
        <v>4100</v>
      </c>
      <c r="W108" s="67">
        <v>4100</v>
      </c>
      <c r="AB108" s="86"/>
      <c r="AC108" s="86"/>
      <c r="AD108" s="86"/>
      <c r="AE108" s="86"/>
      <c r="AF108" s="86"/>
      <c r="AG108" s="86" t="s">
        <v>149</v>
      </c>
      <c r="AH108" s="87"/>
      <c r="AI108" s="87"/>
      <c r="AJ108" s="87"/>
      <c r="AK108" s="87"/>
      <c r="AL108" s="87">
        <v>278.04000000000002</v>
      </c>
      <c r="AM108" s="87">
        <v>270.92</v>
      </c>
      <c r="AN108" s="87">
        <v>259.54000000000002</v>
      </c>
      <c r="AO108" s="87">
        <v>435.49</v>
      </c>
      <c r="AP108" s="87">
        <v>221.98</v>
      </c>
      <c r="AQ108" s="87">
        <v>279.07</v>
      </c>
      <c r="AR108" s="87">
        <v>425.18</v>
      </c>
      <c r="AS108" s="87">
        <v>276.11</v>
      </c>
      <c r="AT108" s="87">
        <v>276.11</v>
      </c>
      <c r="AU108" s="87">
        <v>463.17</v>
      </c>
      <c r="AV108" s="87">
        <v>370.92</v>
      </c>
      <c r="AW108" s="87">
        <v>400.19</v>
      </c>
      <c r="AX108" s="87"/>
      <c r="AY108" s="88">
        <f t="shared" si="35"/>
        <v>3956.72</v>
      </c>
      <c r="AZ108" s="88">
        <v>4200</v>
      </c>
      <c r="BA108" s="88">
        <v>4100</v>
      </c>
      <c r="BB108" s="89"/>
    </row>
    <row r="109" spans="1:54" x14ac:dyDescent="0.3">
      <c r="A109" s="50"/>
      <c r="B109" s="50"/>
      <c r="C109" s="50"/>
      <c r="D109" s="50"/>
      <c r="E109" s="50"/>
      <c r="F109" s="50"/>
      <c r="G109" s="50" t="s">
        <v>150</v>
      </c>
      <c r="H109" s="51">
        <v>0</v>
      </c>
      <c r="I109" s="51">
        <v>0</v>
      </c>
      <c r="J109" s="51">
        <v>0</v>
      </c>
      <c r="K109" s="51">
        <v>9900</v>
      </c>
      <c r="L109" s="51">
        <v>0</v>
      </c>
      <c r="M109" s="51">
        <v>0</v>
      </c>
      <c r="N109" s="51">
        <v>1100</v>
      </c>
      <c r="O109" s="51">
        <v>0</v>
      </c>
      <c r="P109" s="51">
        <v>0</v>
      </c>
      <c r="Q109" s="51">
        <v>0</v>
      </c>
      <c r="R109" s="51">
        <v>0</v>
      </c>
      <c r="S109" s="51">
        <v>0</v>
      </c>
      <c r="T109" s="51"/>
      <c r="U109" s="51">
        <f t="shared" si="34"/>
        <v>11000</v>
      </c>
      <c r="V109" s="67">
        <v>11000</v>
      </c>
      <c r="W109" s="67">
        <v>10500</v>
      </c>
      <c r="AB109" s="86"/>
      <c r="AC109" s="86"/>
      <c r="AD109" s="86"/>
      <c r="AE109" s="86"/>
      <c r="AF109" s="86"/>
      <c r="AG109" s="86" t="s">
        <v>150</v>
      </c>
      <c r="AH109" s="87"/>
      <c r="AI109" s="87"/>
      <c r="AJ109" s="87"/>
      <c r="AK109" s="87"/>
      <c r="AL109" s="87">
        <v>0</v>
      </c>
      <c r="AM109" s="87">
        <v>8240</v>
      </c>
      <c r="AN109" s="87">
        <v>2060</v>
      </c>
      <c r="AO109" s="87">
        <v>0</v>
      </c>
      <c r="AP109" s="87">
        <v>0</v>
      </c>
      <c r="AQ109" s="87">
        <v>0</v>
      </c>
      <c r="AR109" s="87">
        <v>0</v>
      </c>
      <c r="AS109" s="87">
        <v>0</v>
      </c>
      <c r="AT109" s="87">
        <v>0</v>
      </c>
      <c r="AU109" s="87">
        <v>0</v>
      </c>
      <c r="AV109" s="87">
        <v>0</v>
      </c>
      <c r="AW109" s="87">
        <v>0</v>
      </c>
      <c r="AX109" s="87"/>
      <c r="AY109" s="88">
        <f t="shared" si="35"/>
        <v>10300</v>
      </c>
      <c r="AZ109" s="88">
        <v>12000</v>
      </c>
      <c r="BA109" s="88">
        <v>11000</v>
      </c>
      <c r="BB109" s="89"/>
    </row>
    <row r="110" spans="1:54" x14ac:dyDescent="0.3">
      <c r="A110" s="50"/>
      <c r="B110" s="50"/>
      <c r="C110" s="50"/>
      <c r="D110" s="50"/>
      <c r="E110" s="50"/>
      <c r="F110" s="50"/>
      <c r="G110" s="50" t="s">
        <v>151</v>
      </c>
      <c r="H110" s="51">
        <v>770</v>
      </c>
      <c r="I110" s="51">
        <v>1017.5</v>
      </c>
      <c r="J110" s="51">
        <v>1540</v>
      </c>
      <c r="K110" s="51">
        <v>0</v>
      </c>
      <c r="L110" s="51">
        <v>1045</v>
      </c>
      <c r="M110" s="51">
        <v>247.5</v>
      </c>
      <c r="N110" s="51">
        <v>805</v>
      </c>
      <c r="O110" s="51">
        <v>488.75</v>
      </c>
      <c r="P110" s="51">
        <v>690</v>
      </c>
      <c r="Q110" s="51">
        <v>718.75</v>
      </c>
      <c r="R110" s="51">
        <v>575</v>
      </c>
      <c r="S110" s="51">
        <f>115*8</f>
        <v>920</v>
      </c>
      <c r="T110" s="51"/>
      <c r="U110" s="51">
        <f t="shared" si="34"/>
        <v>8817.5</v>
      </c>
      <c r="V110" s="67">
        <v>9500</v>
      </c>
      <c r="W110" s="67">
        <v>9500</v>
      </c>
      <c r="AB110" s="86"/>
      <c r="AC110" s="86"/>
      <c r="AD110" s="86"/>
      <c r="AE110" s="86"/>
      <c r="AF110" s="86"/>
      <c r="AG110" s="86" t="s">
        <v>151</v>
      </c>
      <c r="AH110" s="87"/>
      <c r="AI110" s="87"/>
      <c r="AJ110" s="87"/>
      <c r="AK110" s="87"/>
      <c r="AL110" s="87">
        <v>1023.75</v>
      </c>
      <c r="AM110" s="87">
        <v>1102.5</v>
      </c>
      <c r="AN110" s="87">
        <v>1155</v>
      </c>
      <c r="AO110" s="87">
        <v>551.25</v>
      </c>
      <c r="AP110" s="87">
        <v>813.75</v>
      </c>
      <c r="AQ110" s="87">
        <v>341.25</v>
      </c>
      <c r="AR110" s="87">
        <v>446.25</v>
      </c>
      <c r="AS110" s="87">
        <v>632.5</v>
      </c>
      <c r="AT110" s="87">
        <v>797.5</v>
      </c>
      <c r="AU110" s="87">
        <v>972.9</v>
      </c>
      <c r="AV110" s="87">
        <v>813.75</v>
      </c>
      <c r="AW110" s="87">
        <v>971.25</v>
      </c>
      <c r="AX110" s="87"/>
      <c r="AY110" s="88">
        <f t="shared" si="35"/>
        <v>9621.65</v>
      </c>
      <c r="AZ110" s="88">
        <v>8500</v>
      </c>
      <c r="BA110" s="88">
        <v>9500</v>
      </c>
      <c r="BB110" s="89" t="s">
        <v>248</v>
      </c>
    </row>
    <row r="111" spans="1:54" x14ac:dyDescent="0.3">
      <c r="A111" s="50"/>
      <c r="B111" s="50"/>
      <c r="C111" s="50"/>
      <c r="D111" s="50"/>
      <c r="E111" s="50"/>
      <c r="F111" s="50"/>
      <c r="G111" s="50" t="s">
        <v>200</v>
      </c>
      <c r="H111" s="51">
        <v>0</v>
      </c>
      <c r="I111" s="51">
        <v>0</v>
      </c>
      <c r="J111" s="51">
        <v>0</v>
      </c>
      <c r="K111" s="51">
        <v>0</v>
      </c>
      <c r="L111" s="51">
        <v>0</v>
      </c>
      <c r="M111" s="51">
        <v>0</v>
      </c>
      <c r="N111" s="51">
        <v>0</v>
      </c>
      <c r="O111" s="51">
        <v>0</v>
      </c>
      <c r="P111" s="51">
        <v>0</v>
      </c>
      <c r="Q111" s="51">
        <v>0</v>
      </c>
      <c r="R111" s="51">
        <v>0</v>
      </c>
      <c r="S111" s="51">
        <v>0</v>
      </c>
      <c r="T111" s="51"/>
      <c r="U111" s="51">
        <v>0</v>
      </c>
      <c r="V111" s="67">
        <v>9000</v>
      </c>
      <c r="W111" s="67">
        <v>9000</v>
      </c>
      <c r="AB111" s="86"/>
      <c r="AC111" s="86"/>
      <c r="AD111" s="86"/>
      <c r="AE111" s="86"/>
      <c r="AF111" s="86"/>
      <c r="AG111" s="86" t="s">
        <v>200</v>
      </c>
      <c r="AH111" s="87"/>
      <c r="AI111" s="87"/>
      <c r="AJ111" s="87"/>
      <c r="AK111" s="87"/>
      <c r="AL111" s="87">
        <v>0</v>
      </c>
      <c r="AM111" s="87">
        <v>0</v>
      </c>
      <c r="AN111" s="87">
        <v>0</v>
      </c>
      <c r="AO111" s="87">
        <v>0</v>
      </c>
      <c r="AP111" s="87">
        <v>0</v>
      </c>
      <c r="AQ111" s="87">
        <v>0</v>
      </c>
      <c r="AR111" s="87">
        <v>0</v>
      </c>
      <c r="AS111" s="87">
        <v>0</v>
      </c>
      <c r="AT111" s="87">
        <v>0</v>
      </c>
      <c r="AU111" s="87">
        <v>0</v>
      </c>
      <c r="AV111" s="87">
        <v>0</v>
      </c>
      <c r="AW111" s="87">
        <v>0</v>
      </c>
      <c r="AX111" s="87"/>
      <c r="AY111" s="88">
        <f t="shared" si="35"/>
        <v>0</v>
      </c>
      <c r="AZ111" s="88">
        <v>9000</v>
      </c>
      <c r="BA111" s="88">
        <v>9000</v>
      </c>
      <c r="BB111" s="89"/>
    </row>
    <row r="112" spans="1:54" x14ac:dyDescent="0.3">
      <c r="A112" s="50"/>
      <c r="B112" s="50"/>
      <c r="C112" s="50"/>
      <c r="D112" s="50"/>
      <c r="E112" s="50"/>
      <c r="F112" s="50"/>
      <c r="G112" s="50" t="s">
        <v>233</v>
      </c>
      <c r="H112" s="51">
        <v>0</v>
      </c>
      <c r="I112" s="51">
        <v>0</v>
      </c>
      <c r="J112" s="51">
        <v>0</v>
      </c>
      <c r="K112" s="51">
        <v>0</v>
      </c>
      <c r="L112" s="51">
        <v>375</v>
      </c>
      <c r="M112" s="51">
        <v>0</v>
      </c>
      <c r="N112" s="51">
        <v>0</v>
      </c>
      <c r="O112" s="51">
        <v>0</v>
      </c>
      <c r="P112" s="51">
        <v>0</v>
      </c>
      <c r="Q112" s="51">
        <v>0</v>
      </c>
      <c r="R112" s="51">
        <v>0</v>
      </c>
      <c r="S112" s="51">
        <v>0</v>
      </c>
      <c r="T112" s="51"/>
      <c r="U112" s="51">
        <f t="shared" si="34"/>
        <v>375</v>
      </c>
      <c r="V112" s="67">
        <v>400</v>
      </c>
      <c r="W112" s="67">
        <v>400</v>
      </c>
      <c r="AB112" s="86"/>
      <c r="AC112" s="86"/>
      <c r="AD112" s="86"/>
      <c r="AE112" s="86"/>
      <c r="AF112" s="86"/>
      <c r="AG112" s="86" t="s">
        <v>233</v>
      </c>
      <c r="AH112" s="87"/>
      <c r="AI112" s="87"/>
      <c r="AJ112" s="87"/>
      <c r="AK112" s="87"/>
      <c r="AL112" s="87">
        <v>0</v>
      </c>
      <c r="AM112" s="87">
        <v>0</v>
      </c>
      <c r="AN112" s="87">
        <v>0</v>
      </c>
      <c r="AO112" s="87">
        <v>0</v>
      </c>
      <c r="AP112" s="87">
        <v>0</v>
      </c>
      <c r="AQ112" s="87">
        <v>0</v>
      </c>
      <c r="AR112" s="87">
        <v>375</v>
      </c>
      <c r="AS112" s="87">
        <v>0</v>
      </c>
      <c r="AT112" s="87">
        <v>0</v>
      </c>
      <c r="AU112" s="87">
        <v>0</v>
      </c>
      <c r="AV112" s="87">
        <v>0</v>
      </c>
      <c r="AW112" s="87">
        <v>0</v>
      </c>
      <c r="AX112" s="87"/>
      <c r="AY112" s="88">
        <f t="shared" si="35"/>
        <v>375</v>
      </c>
      <c r="AZ112" s="88">
        <v>200</v>
      </c>
      <c r="BA112" s="88">
        <v>400</v>
      </c>
      <c r="BB112" s="89" t="s">
        <v>250</v>
      </c>
    </row>
    <row r="113" spans="1:54" x14ac:dyDescent="0.3">
      <c r="A113" s="50"/>
      <c r="B113" s="50"/>
      <c r="C113" s="50"/>
      <c r="D113" s="50"/>
      <c r="E113" s="50"/>
      <c r="F113" s="50"/>
      <c r="G113" s="50" t="s">
        <v>152</v>
      </c>
      <c r="H113" s="51">
        <v>435</v>
      </c>
      <c r="I113" s="51">
        <v>0</v>
      </c>
      <c r="J113" s="51">
        <v>1275</v>
      </c>
      <c r="K113" s="51">
        <v>315</v>
      </c>
      <c r="L113" s="51">
        <v>420</v>
      </c>
      <c r="M113" s="51">
        <v>300</v>
      </c>
      <c r="N113" s="51">
        <v>360</v>
      </c>
      <c r="O113" s="51">
        <v>435</v>
      </c>
      <c r="P113" s="51">
        <v>0</v>
      </c>
      <c r="Q113" s="51">
        <v>525</v>
      </c>
      <c r="R113" s="51">
        <v>0</v>
      </c>
      <c r="S113" s="51">
        <v>1350</v>
      </c>
      <c r="T113" s="51"/>
      <c r="U113" s="51">
        <f t="shared" si="34"/>
        <v>5415</v>
      </c>
      <c r="V113" s="67">
        <v>30000</v>
      </c>
      <c r="W113" s="67">
        <v>30000</v>
      </c>
      <c r="AB113" s="86"/>
      <c r="AC113" s="86"/>
      <c r="AD113" s="86"/>
      <c r="AE113" s="86"/>
      <c r="AF113" s="86"/>
      <c r="AG113" s="86" t="s">
        <v>152</v>
      </c>
      <c r="AH113" s="87"/>
      <c r="AI113" s="87"/>
      <c r="AJ113" s="87"/>
      <c r="AK113" s="87"/>
      <c r="AL113" s="87">
        <v>540</v>
      </c>
      <c r="AM113" s="87">
        <v>60</v>
      </c>
      <c r="AN113" s="87">
        <v>0</v>
      </c>
      <c r="AO113" s="87">
        <v>0</v>
      </c>
      <c r="AP113" s="87">
        <v>650</v>
      </c>
      <c r="AQ113" s="87">
        <v>1360</v>
      </c>
      <c r="AR113" s="87">
        <v>170</v>
      </c>
      <c r="AS113" s="87">
        <v>60</v>
      </c>
      <c r="AT113" s="87">
        <v>1700</v>
      </c>
      <c r="AU113" s="87">
        <v>0</v>
      </c>
      <c r="AV113" s="87">
        <v>1245</v>
      </c>
      <c r="AW113" s="87">
        <v>1215</v>
      </c>
      <c r="AX113" s="87"/>
      <c r="AY113" s="88">
        <f t="shared" si="35"/>
        <v>7000</v>
      </c>
      <c r="AZ113" s="88">
        <v>30000</v>
      </c>
      <c r="BA113" s="88">
        <v>30000</v>
      </c>
      <c r="BB113" s="89" t="s">
        <v>251</v>
      </c>
    </row>
    <row r="114" spans="1:54" x14ac:dyDescent="0.3">
      <c r="A114" s="50"/>
      <c r="B114" s="50"/>
      <c r="C114" s="50"/>
      <c r="D114" s="50"/>
      <c r="E114" s="50"/>
      <c r="F114" s="50"/>
      <c r="G114" s="50" t="s">
        <v>153</v>
      </c>
      <c r="H114" s="51">
        <v>445.33</v>
      </c>
      <c r="I114" s="51">
        <v>445.33</v>
      </c>
      <c r="J114" s="51">
        <v>445.33</v>
      </c>
      <c r="K114" s="51">
        <v>365.4</v>
      </c>
      <c r="L114" s="51">
        <v>365.4</v>
      </c>
      <c r="M114" s="51">
        <v>365.4</v>
      </c>
      <c r="N114" s="51">
        <v>365.4</v>
      </c>
      <c r="O114" s="51">
        <v>445.33</v>
      </c>
      <c r="P114" s="51">
        <v>445.33</v>
      </c>
      <c r="Q114" s="51">
        <v>445.33</v>
      </c>
      <c r="R114" s="51">
        <v>445.33</v>
      </c>
      <c r="S114" s="51">
        <v>445.33</v>
      </c>
      <c r="T114" s="51"/>
      <c r="U114" s="51">
        <f t="shared" si="34"/>
        <v>5024.24</v>
      </c>
      <c r="V114" s="67">
        <v>5400</v>
      </c>
      <c r="W114" s="115">
        <v>5400</v>
      </c>
      <c r="AB114" s="86"/>
      <c r="AC114" s="86"/>
      <c r="AD114" s="86"/>
      <c r="AE114" s="86"/>
      <c r="AF114" s="86"/>
      <c r="AG114" s="86" t="s">
        <v>153</v>
      </c>
      <c r="AH114" s="87"/>
      <c r="AI114" s="87"/>
      <c r="AJ114" s="87"/>
      <c r="AK114" s="87"/>
      <c r="AL114" s="87">
        <v>445.33</v>
      </c>
      <c r="AM114" s="87">
        <v>445.33</v>
      </c>
      <c r="AN114" s="87">
        <v>445.33</v>
      </c>
      <c r="AO114" s="87">
        <v>365.4</v>
      </c>
      <c r="AP114" s="87">
        <v>365.4</v>
      </c>
      <c r="AQ114" s="87">
        <v>365.4</v>
      </c>
      <c r="AR114" s="87">
        <v>445.33</v>
      </c>
      <c r="AS114" s="87">
        <v>445.33</v>
      </c>
      <c r="AT114" s="87">
        <v>445.33</v>
      </c>
      <c r="AU114" s="87">
        <v>445.33</v>
      </c>
      <c r="AV114" s="87">
        <v>445.33</v>
      </c>
      <c r="AW114" s="87">
        <v>445.33</v>
      </c>
      <c r="AX114" s="87"/>
      <c r="AY114" s="88">
        <f t="shared" si="35"/>
        <v>5104.17</v>
      </c>
      <c r="AZ114" s="88">
        <v>5400</v>
      </c>
      <c r="BA114" s="88">
        <v>5400</v>
      </c>
      <c r="BB114" s="89"/>
    </row>
    <row r="115" spans="1:54" x14ac:dyDescent="0.3">
      <c r="A115" s="50"/>
      <c r="B115" s="50"/>
      <c r="C115" s="50"/>
      <c r="D115" s="50"/>
      <c r="E115" s="50"/>
      <c r="F115" s="50"/>
      <c r="G115" s="50" t="s">
        <v>154</v>
      </c>
      <c r="H115" s="51">
        <v>0</v>
      </c>
      <c r="I115" s="51">
        <v>0</v>
      </c>
      <c r="J115" s="51">
        <v>0</v>
      </c>
      <c r="K115" s="51">
        <v>0</v>
      </c>
      <c r="L115" s="51">
        <v>0</v>
      </c>
      <c r="M115" s="51">
        <v>266</v>
      </c>
      <c r="N115" s="51">
        <v>0</v>
      </c>
      <c r="O115" s="51">
        <v>0</v>
      </c>
      <c r="P115" s="51">
        <v>28</v>
      </c>
      <c r="Q115" s="51">
        <v>0</v>
      </c>
      <c r="R115" s="51">
        <v>0</v>
      </c>
      <c r="S115" s="51">
        <v>0</v>
      </c>
      <c r="T115" s="51"/>
      <c r="U115" s="51">
        <f t="shared" si="34"/>
        <v>294</v>
      </c>
      <c r="V115" s="67">
        <v>1800</v>
      </c>
      <c r="W115" s="67">
        <v>1800</v>
      </c>
      <c r="AB115" s="86"/>
      <c r="AC115" s="86"/>
      <c r="AD115" s="86"/>
      <c r="AE115" s="86"/>
      <c r="AF115" s="86"/>
      <c r="AG115" s="86" t="s">
        <v>154</v>
      </c>
      <c r="AH115" s="87"/>
      <c r="AI115" s="87"/>
      <c r="AJ115" s="87"/>
      <c r="AK115" s="87"/>
      <c r="AL115" s="87">
        <v>0</v>
      </c>
      <c r="AM115" s="87">
        <v>0</v>
      </c>
      <c r="AN115" s="87">
        <v>384</v>
      </c>
      <c r="AO115" s="87">
        <v>0</v>
      </c>
      <c r="AP115" s="87">
        <v>469.18</v>
      </c>
      <c r="AQ115" s="87">
        <v>103.23</v>
      </c>
      <c r="AR115" s="87">
        <v>0</v>
      </c>
      <c r="AS115" s="87">
        <v>0</v>
      </c>
      <c r="AT115" s="87">
        <v>0</v>
      </c>
      <c r="AU115" s="87">
        <v>0</v>
      </c>
      <c r="AV115" s="87">
        <v>0</v>
      </c>
      <c r="AW115" s="87">
        <v>0</v>
      </c>
      <c r="AX115" s="87"/>
      <c r="AY115" s="88">
        <f t="shared" si="35"/>
        <v>956.41</v>
      </c>
      <c r="AZ115" s="88">
        <v>1800</v>
      </c>
      <c r="BA115" s="88">
        <v>1800</v>
      </c>
      <c r="BB115" s="89"/>
    </row>
    <row r="116" spans="1:54" x14ac:dyDescent="0.3">
      <c r="A116" s="50"/>
      <c r="B116" s="50"/>
      <c r="C116" s="50"/>
      <c r="D116" s="50"/>
      <c r="E116" s="50"/>
      <c r="F116" s="50"/>
      <c r="G116" s="50" t="s">
        <v>238</v>
      </c>
      <c r="H116" s="51">
        <v>0</v>
      </c>
      <c r="I116" s="51">
        <v>0</v>
      </c>
      <c r="J116" s="51">
        <v>0</v>
      </c>
      <c r="K116" s="51">
        <v>0</v>
      </c>
      <c r="L116" s="51">
        <v>0</v>
      </c>
      <c r="M116" s="51">
        <v>0</v>
      </c>
      <c r="N116" s="51">
        <v>0</v>
      </c>
      <c r="O116" s="51">
        <v>0</v>
      </c>
      <c r="P116" s="51">
        <v>0</v>
      </c>
      <c r="Q116" s="51">
        <v>0</v>
      </c>
      <c r="R116" s="51">
        <v>0</v>
      </c>
      <c r="S116" s="51">
        <v>0</v>
      </c>
      <c r="T116" s="51"/>
      <c r="U116" s="51">
        <v>0</v>
      </c>
      <c r="V116" s="67">
        <v>300</v>
      </c>
      <c r="W116" s="67">
        <v>300</v>
      </c>
      <c r="AB116" s="86"/>
      <c r="AC116" s="86"/>
      <c r="AD116" s="86"/>
      <c r="AE116" s="86"/>
      <c r="AF116" s="86"/>
      <c r="AG116" s="86" t="s">
        <v>238</v>
      </c>
      <c r="AH116" s="87"/>
      <c r="AI116" s="87"/>
      <c r="AJ116" s="87"/>
      <c r="AK116" s="87"/>
      <c r="AL116" s="87">
        <v>0</v>
      </c>
      <c r="AM116" s="87">
        <v>0</v>
      </c>
      <c r="AN116" s="87">
        <v>0</v>
      </c>
      <c r="AO116" s="87">
        <v>0</v>
      </c>
      <c r="AP116" s="87">
        <v>0</v>
      </c>
      <c r="AQ116" s="87">
        <v>0</v>
      </c>
      <c r="AR116" s="87">
        <v>0</v>
      </c>
      <c r="AS116" s="87">
        <v>0</v>
      </c>
      <c r="AT116" s="87">
        <v>0</v>
      </c>
      <c r="AU116" s="87">
        <v>0</v>
      </c>
      <c r="AV116" s="87">
        <v>0</v>
      </c>
      <c r="AW116" s="87">
        <v>0</v>
      </c>
      <c r="AX116" s="87"/>
      <c r="AY116" s="88">
        <f t="shared" si="35"/>
        <v>0</v>
      </c>
      <c r="AZ116" s="88">
        <v>250</v>
      </c>
      <c r="BA116" s="88">
        <v>300</v>
      </c>
      <c r="BB116" s="89"/>
    </row>
    <row r="117" spans="1:54" x14ac:dyDescent="0.3">
      <c r="A117" s="50"/>
      <c r="B117" s="50"/>
      <c r="C117" s="50"/>
      <c r="D117" s="50"/>
      <c r="E117" s="50"/>
      <c r="F117" s="50"/>
      <c r="G117" s="50" t="s">
        <v>155</v>
      </c>
      <c r="H117" s="51">
        <v>0</v>
      </c>
      <c r="I117" s="51">
        <v>365</v>
      </c>
      <c r="J117" s="51">
        <v>0</v>
      </c>
      <c r="K117" s="51">
        <v>0</v>
      </c>
      <c r="L117" s="51">
        <v>0</v>
      </c>
      <c r="M117" s="51">
        <v>0</v>
      </c>
      <c r="N117" s="51">
        <v>219</v>
      </c>
      <c r="O117" s="51">
        <v>0</v>
      </c>
      <c r="P117" s="51">
        <v>0</v>
      </c>
      <c r="Q117" s="51">
        <v>0</v>
      </c>
      <c r="R117" s="51">
        <v>0</v>
      </c>
      <c r="S117" s="51">
        <v>0</v>
      </c>
      <c r="T117" s="51"/>
      <c r="U117" s="51">
        <f t="shared" si="34"/>
        <v>584</v>
      </c>
      <c r="V117" s="67">
        <v>2500</v>
      </c>
      <c r="W117" s="67">
        <v>2500</v>
      </c>
      <c r="AB117" s="86"/>
      <c r="AC117" s="86"/>
      <c r="AD117" s="86"/>
      <c r="AE117" s="86"/>
      <c r="AF117" s="86"/>
      <c r="AG117" s="86" t="s">
        <v>155</v>
      </c>
      <c r="AH117" s="87"/>
      <c r="AI117" s="87"/>
      <c r="AJ117" s="87"/>
      <c r="AK117" s="87"/>
      <c r="AL117" s="87">
        <v>0</v>
      </c>
      <c r="AM117" s="87">
        <v>0</v>
      </c>
      <c r="AN117" s="87">
        <v>0</v>
      </c>
      <c r="AO117" s="87">
        <v>0</v>
      </c>
      <c r="AP117" s="87">
        <v>0</v>
      </c>
      <c r="AQ117" s="87">
        <v>0</v>
      </c>
      <c r="AR117" s="87">
        <v>0</v>
      </c>
      <c r="AS117" s="87">
        <v>0</v>
      </c>
      <c r="AT117" s="87">
        <v>0</v>
      </c>
      <c r="AU117" s="87">
        <v>0</v>
      </c>
      <c r="AV117" s="87">
        <v>63</v>
      </c>
      <c r="AW117" s="87">
        <v>0</v>
      </c>
      <c r="AX117" s="87"/>
      <c r="AY117" s="88">
        <f t="shared" si="35"/>
        <v>63</v>
      </c>
      <c r="AZ117" s="88">
        <v>2500</v>
      </c>
      <c r="BA117" s="88">
        <v>2500</v>
      </c>
      <c r="BB117" s="89"/>
    </row>
    <row r="118" spans="1:54" x14ac:dyDescent="0.3">
      <c r="A118" s="50"/>
      <c r="B118" s="50"/>
      <c r="C118" s="50"/>
      <c r="D118" s="50"/>
      <c r="E118" s="50"/>
      <c r="F118" s="50"/>
      <c r="G118" s="50" t="s">
        <v>156</v>
      </c>
      <c r="H118" s="51">
        <v>13.59</v>
      </c>
      <c r="I118" s="51">
        <v>1982.42</v>
      </c>
      <c r="J118" s="51">
        <v>1019.56</v>
      </c>
      <c r="K118" s="51">
        <v>0</v>
      </c>
      <c r="L118" s="51">
        <v>0</v>
      </c>
      <c r="M118" s="51">
        <v>0</v>
      </c>
      <c r="N118" s="51">
        <v>700</v>
      </c>
      <c r="O118" s="51">
        <v>0</v>
      </c>
      <c r="P118" s="51">
        <v>0</v>
      </c>
      <c r="Q118" s="51">
        <v>0</v>
      </c>
      <c r="R118" s="51">
        <v>0</v>
      </c>
      <c r="S118" s="51">
        <v>15</v>
      </c>
      <c r="T118" s="51"/>
      <c r="U118" s="51">
        <f t="shared" si="34"/>
        <v>3730.57</v>
      </c>
      <c r="V118" s="67">
        <v>30000</v>
      </c>
      <c r="W118" s="67">
        <v>30000</v>
      </c>
      <c r="AB118" s="86"/>
      <c r="AC118" s="86"/>
      <c r="AD118" s="86"/>
      <c r="AE118" s="86"/>
      <c r="AF118" s="86"/>
      <c r="AG118" s="86" t="s">
        <v>156</v>
      </c>
      <c r="AH118" s="87"/>
      <c r="AI118" s="87"/>
      <c r="AJ118" s="87"/>
      <c r="AK118" s="87"/>
      <c r="AL118" s="87">
        <v>0</v>
      </c>
      <c r="AM118" s="87">
        <v>378</v>
      </c>
      <c r="AN118" s="87">
        <v>425</v>
      </c>
      <c r="AO118" s="87">
        <v>0</v>
      </c>
      <c r="AP118" s="87">
        <v>100</v>
      </c>
      <c r="AQ118" s="87">
        <v>0</v>
      </c>
      <c r="AR118" s="87">
        <v>99</v>
      </c>
      <c r="AS118" s="87">
        <v>-100</v>
      </c>
      <c r="AT118" s="87">
        <v>0</v>
      </c>
      <c r="AU118" s="87">
        <v>0</v>
      </c>
      <c r="AV118" s="87">
        <v>0</v>
      </c>
      <c r="AW118" s="87">
        <v>0</v>
      </c>
      <c r="AX118" s="87"/>
      <c r="AY118" s="88">
        <f t="shared" si="35"/>
        <v>902</v>
      </c>
      <c r="AZ118" s="88">
        <v>30000</v>
      </c>
      <c r="BA118" s="88">
        <v>30000</v>
      </c>
      <c r="BB118" s="89" t="s">
        <v>251</v>
      </c>
    </row>
    <row r="119" spans="1:54" x14ac:dyDescent="0.3">
      <c r="A119" s="50"/>
      <c r="B119" s="50"/>
      <c r="C119" s="50"/>
      <c r="D119" s="50"/>
      <c r="E119" s="50"/>
      <c r="F119" s="50"/>
      <c r="G119" s="50" t="s">
        <v>157</v>
      </c>
      <c r="H119" s="51">
        <v>321.43</v>
      </c>
      <c r="I119" s="51">
        <v>48.7</v>
      </c>
      <c r="J119" s="51">
        <v>56.42</v>
      </c>
      <c r="K119" s="51">
        <v>42.97</v>
      </c>
      <c r="L119" s="51">
        <v>0</v>
      </c>
      <c r="M119" s="51">
        <v>141.88</v>
      </c>
      <c r="N119" s="51">
        <v>101.79</v>
      </c>
      <c r="O119" s="51">
        <v>0</v>
      </c>
      <c r="P119" s="51">
        <v>317.31</v>
      </c>
      <c r="Q119" s="51">
        <v>153.86000000000001</v>
      </c>
      <c r="R119" s="51">
        <v>0</v>
      </c>
      <c r="S119" s="51">
        <v>150</v>
      </c>
      <c r="T119" s="51"/>
      <c r="U119" s="51">
        <f t="shared" si="34"/>
        <v>1334.36</v>
      </c>
      <c r="V119" s="67">
        <v>2000</v>
      </c>
      <c r="W119" s="67">
        <v>2000</v>
      </c>
      <c r="AB119" s="86"/>
      <c r="AC119" s="86"/>
      <c r="AD119" s="86"/>
      <c r="AE119" s="86"/>
      <c r="AF119" s="86"/>
      <c r="AG119" s="86" t="s">
        <v>157</v>
      </c>
      <c r="AH119" s="87"/>
      <c r="AI119" s="87"/>
      <c r="AJ119" s="87"/>
      <c r="AK119" s="87"/>
      <c r="AL119" s="87">
        <v>0</v>
      </c>
      <c r="AM119" s="87">
        <v>75.34</v>
      </c>
      <c r="AN119" s="87">
        <v>66.03</v>
      </c>
      <c r="AO119" s="87">
        <v>100.89</v>
      </c>
      <c r="AP119" s="87">
        <v>0</v>
      </c>
      <c r="AQ119" s="87">
        <v>0</v>
      </c>
      <c r="AR119" s="87">
        <v>43.21</v>
      </c>
      <c r="AS119" s="87">
        <v>147.96</v>
      </c>
      <c r="AT119" s="87">
        <v>64.540000000000006</v>
      </c>
      <c r="AU119" s="87">
        <v>0</v>
      </c>
      <c r="AV119" s="87">
        <v>0</v>
      </c>
      <c r="AW119" s="87">
        <v>45.66</v>
      </c>
      <c r="AX119" s="87"/>
      <c r="AY119" s="88">
        <f t="shared" si="35"/>
        <v>543.63</v>
      </c>
      <c r="AZ119" s="88">
        <v>2000</v>
      </c>
      <c r="BA119" s="88">
        <v>2000</v>
      </c>
      <c r="BB119" s="89"/>
    </row>
    <row r="120" spans="1:54" x14ac:dyDescent="0.3">
      <c r="A120" s="50"/>
      <c r="B120" s="50"/>
      <c r="C120" s="50"/>
      <c r="D120" s="50"/>
      <c r="E120" s="50"/>
      <c r="F120" s="50"/>
      <c r="G120" s="50" t="s">
        <v>158</v>
      </c>
      <c r="H120" s="51">
        <v>0</v>
      </c>
      <c r="I120" s="51">
        <v>0</v>
      </c>
      <c r="J120" s="51">
        <v>0</v>
      </c>
      <c r="K120" s="51">
        <v>800</v>
      </c>
      <c r="L120" s="51">
        <v>0</v>
      </c>
      <c r="M120" s="51">
        <v>2292.25</v>
      </c>
      <c r="N120" s="51">
        <v>0</v>
      </c>
      <c r="O120" s="51">
        <v>0</v>
      </c>
      <c r="P120" s="51">
        <v>0</v>
      </c>
      <c r="Q120" s="51">
        <v>0</v>
      </c>
      <c r="R120" s="51">
        <v>0</v>
      </c>
      <c r="S120" s="51">
        <v>0</v>
      </c>
      <c r="T120" s="51"/>
      <c r="U120" s="51">
        <f t="shared" si="34"/>
        <v>3092.25</v>
      </c>
      <c r="V120" s="67">
        <v>5000</v>
      </c>
      <c r="W120" s="67">
        <v>5000</v>
      </c>
      <c r="AB120" s="86"/>
      <c r="AC120" s="86"/>
      <c r="AD120" s="86"/>
      <c r="AE120" s="86"/>
      <c r="AF120" s="86"/>
      <c r="AG120" s="86" t="s">
        <v>158</v>
      </c>
      <c r="AH120" s="87"/>
      <c r="AI120" s="87"/>
      <c r="AJ120" s="87"/>
      <c r="AK120" s="87"/>
      <c r="AL120" s="87">
        <v>0</v>
      </c>
      <c r="AM120" s="87">
        <v>0</v>
      </c>
      <c r="AN120" s="87">
        <v>0</v>
      </c>
      <c r="AO120" s="87">
        <v>0</v>
      </c>
      <c r="AP120" s="87">
        <v>0</v>
      </c>
      <c r="AQ120" s="87">
        <v>275.2</v>
      </c>
      <c r="AR120" s="87">
        <v>0</v>
      </c>
      <c r="AS120" s="87">
        <v>0</v>
      </c>
      <c r="AT120" s="87">
        <v>0</v>
      </c>
      <c r="AU120" s="87">
        <v>0</v>
      </c>
      <c r="AV120" s="87">
        <v>0</v>
      </c>
      <c r="AW120" s="87">
        <v>0</v>
      </c>
      <c r="AX120" s="87"/>
      <c r="AY120" s="88">
        <f t="shared" si="35"/>
        <v>275.2</v>
      </c>
      <c r="AZ120" s="88">
        <v>5000</v>
      </c>
      <c r="BA120" s="88">
        <v>5000</v>
      </c>
      <c r="BB120" s="89"/>
    </row>
    <row r="121" spans="1:54" x14ac:dyDescent="0.3">
      <c r="A121" s="50"/>
      <c r="B121" s="50"/>
      <c r="C121" s="50"/>
      <c r="D121" s="50"/>
      <c r="E121" s="50"/>
      <c r="F121" s="50"/>
      <c r="G121" s="50" t="s">
        <v>159</v>
      </c>
      <c r="H121" s="51">
        <v>0</v>
      </c>
      <c r="I121" s="51">
        <v>0.45</v>
      </c>
      <c r="J121" s="51">
        <v>0</v>
      </c>
      <c r="K121" s="51">
        <v>0</v>
      </c>
      <c r="L121" s="51">
        <v>0</v>
      </c>
      <c r="M121" s="51">
        <v>0</v>
      </c>
      <c r="N121" s="51">
        <v>0</v>
      </c>
      <c r="O121" s="51">
        <v>0</v>
      </c>
      <c r="P121" s="51">
        <v>0</v>
      </c>
      <c r="Q121" s="51">
        <v>0</v>
      </c>
      <c r="R121" s="51">
        <v>0</v>
      </c>
      <c r="S121" s="51">
        <v>0</v>
      </c>
      <c r="T121" s="51"/>
      <c r="U121" s="51">
        <f t="shared" si="34"/>
        <v>0.45</v>
      </c>
      <c r="V121" s="67">
        <v>2500</v>
      </c>
      <c r="W121" s="67">
        <v>2500</v>
      </c>
      <c r="AB121" s="86"/>
      <c r="AC121" s="86"/>
      <c r="AD121" s="86"/>
      <c r="AE121" s="86"/>
      <c r="AF121" s="86"/>
      <c r="AG121" s="86" t="s">
        <v>159</v>
      </c>
      <c r="AH121" s="87"/>
      <c r="AI121" s="87"/>
      <c r="AJ121" s="87"/>
      <c r="AK121" s="87"/>
      <c r="AL121" s="87">
        <v>66.88</v>
      </c>
      <c r="AM121" s="87">
        <v>157.94</v>
      </c>
      <c r="AN121" s="87">
        <v>166.05</v>
      </c>
      <c r="AO121" s="87">
        <v>0</v>
      </c>
      <c r="AP121" s="87">
        <v>0</v>
      </c>
      <c r="AQ121" s="87">
        <v>0</v>
      </c>
      <c r="AR121" s="87">
        <v>0</v>
      </c>
      <c r="AS121" s="87">
        <v>0</v>
      </c>
      <c r="AT121" s="87">
        <v>248.76</v>
      </c>
      <c r="AU121" s="87">
        <v>0</v>
      </c>
      <c r="AV121" s="87">
        <v>127.06</v>
      </c>
      <c r="AW121" s="87">
        <v>76.099999999999994</v>
      </c>
      <c r="AX121" s="87"/>
      <c r="AY121" s="88">
        <f t="shared" si="35"/>
        <v>842.79</v>
      </c>
      <c r="AZ121" s="88">
        <v>2500</v>
      </c>
      <c r="BA121" s="88">
        <v>2500</v>
      </c>
      <c r="BB121" s="89"/>
    </row>
    <row r="122" spans="1:54" x14ac:dyDescent="0.3">
      <c r="A122" s="50"/>
      <c r="B122" s="50"/>
      <c r="C122" s="50"/>
      <c r="D122" s="50"/>
      <c r="E122" s="50"/>
      <c r="F122" s="50"/>
      <c r="G122" s="50" t="s">
        <v>160</v>
      </c>
      <c r="H122" s="51">
        <v>50</v>
      </c>
      <c r="I122" s="51">
        <v>100</v>
      </c>
      <c r="J122" s="51">
        <v>50</v>
      </c>
      <c r="K122" s="51">
        <v>50</v>
      </c>
      <c r="L122" s="51">
        <v>50</v>
      </c>
      <c r="M122" s="51">
        <v>50</v>
      </c>
      <c r="N122" s="51">
        <v>0</v>
      </c>
      <c r="O122" s="51">
        <v>50</v>
      </c>
      <c r="P122" s="51">
        <v>50</v>
      </c>
      <c r="Q122" s="51">
        <v>50</v>
      </c>
      <c r="R122" s="51">
        <v>50</v>
      </c>
      <c r="S122" s="51">
        <v>50</v>
      </c>
      <c r="T122" s="51"/>
      <c r="U122" s="51">
        <f t="shared" si="34"/>
        <v>600</v>
      </c>
      <c r="V122" s="67">
        <v>800</v>
      </c>
      <c r="W122" s="67">
        <v>800</v>
      </c>
      <c r="AB122" s="86"/>
      <c r="AC122" s="86"/>
      <c r="AD122" s="86"/>
      <c r="AE122" s="86"/>
      <c r="AF122" s="86"/>
      <c r="AG122" s="86" t="s">
        <v>160</v>
      </c>
      <c r="AH122" s="87"/>
      <c r="AI122" s="87"/>
      <c r="AJ122" s="87"/>
      <c r="AK122" s="87"/>
      <c r="AL122" s="87">
        <v>50</v>
      </c>
      <c r="AM122" s="87">
        <v>50</v>
      </c>
      <c r="AN122" s="87">
        <v>0</v>
      </c>
      <c r="AO122" s="87">
        <v>0</v>
      </c>
      <c r="AP122" s="87">
        <v>150</v>
      </c>
      <c r="AQ122" s="87">
        <v>100</v>
      </c>
      <c r="AR122" s="87">
        <v>50</v>
      </c>
      <c r="AS122" s="87">
        <v>0</v>
      </c>
      <c r="AT122" s="87">
        <v>0</v>
      </c>
      <c r="AU122" s="87">
        <v>50</v>
      </c>
      <c r="AV122" s="87">
        <v>50</v>
      </c>
      <c r="AW122" s="87">
        <v>50</v>
      </c>
      <c r="AX122" s="87"/>
      <c r="AY122" s="88">
        <f t="shared" si="35"/>
        <v>550</v>
      </c>
      <c r="AZ122" s="88">
        <v>800</v>
      </c>
      <c r="BA122" s="88">
        <v>800</v>
      </c>
      <c r="BB122" s="89"/>
    </row>
    <row r="123" spans="1:54" ht="15" thickBot="1" x14ac:dyDescent="0.35">
      <c r="A123" s="50"/>
      <c r="B123" s="50"/>
      <c r="C123" s="50"/>
      <c r="D123" s="50"/>
      <c r="E123" s="50"/>
      <c r="F123" s="50"/>
      <c r="G123" s="50" t="s">
        <v>161</v>
      </c>
      <c r="H123" s="52">
        <v>0</v>
      </c>
      <c r="I123" s="52">
        <v>183.75</v>
      </c>
      <c r="J123" s="52">
        <v>35.770000000000003</v>
      </c>
      <c r="K123" s="52">
        <v>103.47</v>
      </c>
      <c r="L123" s="52">
        <v>67.41</v>
      </c>
      <c r="M123" s="52">
        <v>128.22</v>
      </c>
      <c r="N123" s="52">
        <v>24.99</v>
      </c>
      <c r="O123" s="52">
        <v>83.79</v>
      </c>
      <c r="P123" s="52">
        <v>108.78</v>
      </c>
      <c r="Q123" s="52">
        <v>122.76</v>
      </c>
      <c r="R123" s="52">
        <v>0</v>
      </c>
      <c r="S123" s="52">
        <v>250</v>
      </c>
      <c r="T123" s="52"/>
      <c r="U123" s="52">
        <f t="shared" si="34"/>
        <v>1108.94</v>
      </c>
      <c r="V123" s="69">
        <v>1600</v>
      </c>
      <c r="W123" s="69">
        <v>1600</v>
      </c>
      <c r="AB123" s="86"/>
      <c r="AC123" s="86"/>
      <c r="AD123" s="86"/>
      <c r="AE123" s="86"/>
      <c r="AF123" s="86"/>
      <c r="AG123" s="86" t="s">
        <v>161</v>
      </c>
      <c r="AH123" s="90"/>
      <c r="AI123" s="90"/>
      <c r="AJ123" s="90"/>
      <c r="AK123" s="90"/>
      <c r="AL123" s="90">
        <v>135.31</v>
      </c>
      <c r="AM123" s="90">
        <v>0</v>
      </c>
      <c r="AN123" s="90">
        <v>93.71</v>
      </c>
      <c r="AO123" s="90">
        <v>72.73</v>
      </c>
      <c r="AP123" s="90">
        <v>304.77999999999997</v>
      </c>
      <c r="AQ123" s="90">
        <v>41.26</v>
      </c>
      <c r="AR123" s="90">
        <v>24.99</v>
      </c>
      <c r="AS123" s="90">
        <v>87.21</v>
      </c>
      <c r="AT123" s="90">
        <v>51.92</v>
      </c>
      <c r="AU123" s="90">
        <v>91.27</v>
      </c>
      <c r="AV123" s="90">
        <v>51.85</v>
      </c>
      <c r="AW123" s="90">
        <v>209.36</v>
      </c>
      <c r="AX123" s="90"/>
      <c r="AY123" s="91">
        <f t="shared" si="35"/>
        <v>1164.3900000000001</v>
      </c>
      <c r="AZ123" s="91">
        <v>1600</v>
      </c>
      <c r="BA123" s="91">
        <v>1600</v>
      </c>
      <c r="BB123" s="92"/>
    </row>
    <row r="124" spans="1:54" x14ac:dyDescent="0.3">
      <c r="A124" s="50"/>
      <c r="B124" s="50"/>
      <c r="C124" s="50"/>
      <c r="D124" s="50"/>
      <c r="E124" s="50"/>
      <c r="F124" s="50" t="s">
        <v>162</v>
      </c>
      <c r="G124" s="50"/>
      <c r="H124" s="51">
        <f t="shared" ref="H124:S124" si="36">ROUND(SUM(H92:H123),5)</f>
        <v>4493.18</v>
      </c>
      <c r="I124" s="51">
        <f t="shared" si="36"/>
        <v>7609.06</v>
      </c>
      <c r="J124" s="51">
        <f t="shared" si="36"/>
        <v>8331.69</v>
      </c>
      <c r="K124" s="51">
        <f t="shared" si="36"/>
        <v>17856.61</v>
      </c>
      <c r="L124" s="51">
        <f t="shared" si="36"/>
        <v>7525.12</v>
      </c>
      <c r="M124" s="51">
        <f t="shared" si="36"/>
        <v>7691.51</v>
      </c>
      <c r="N124" s="51">
        <f t="shared" si="36"/>
        <v>7263.43</v>
      </c>
      <c r="O124" s="51">
        <f t="shared" si="36"/>
        <v>4806.33</v>
      </c>
      <c r="P124" s="51">
        <f t="shared" si="36"/>
        <v>5613.65</v>
      </c>
      <c r="Q124" s="51">
        <f t="shared" si="36"/>
        <v>6859.47</v>
      </c>
      <c r="R124" s="51">
        <f t="shared" si="36"/>
        <v>3953.63</v>
      </c>
      <c r="S124" s="51">
        <f t="shared" si="36"/>
        <v>8530.7999999999993</v>
      </c>
      <c r="T124" s="51"/>
      <c r="U124" s="51">
        <f t="shared" si="34"/>
        <v>90534.48</v>
      </c>
      <c r="V124" s="51">
        <f>ROUND(SUM(V92:V123),5)</f>
        <v>172150</v>
      </c>
      <c r="W124" s="51">
        <f>ROUND(SUM(W92:W123),5)</f>
        <v>177950</v>
      </c>
      <c r="AB124" s="86"/>
      <c r="AC124" s="86"/>
      <c r="AD124" s="86"/>
      <c r="AE124" s="86"/>
      <c r="AF124" s="86" t="s">
        <v>162</v>
      </c>
      <c r="AG124" s="86"/>
      <c r="AH124" s="87"/>
      <c r="AI124" s="87"/>
      <c r="AJ124" s="87"/>
      <c r="AK124" s="87"/>
      <c r="AL124" s="87">
        <f t="shared" ref="AL124:AW124" si="37">ROUND(SUM(AL92:AL123),5)</f>
        <v>4929.17</v>
      </c>
      <c r="AM124" s="87">
        <f t="shared" si="37"/>
        <v>14242.92</v>
      </c>
      <c r="AN124" s="87">
        <f t="shared" si="37"/>
        <v>8152.11</v>
      </c>
      <c r="AO124" s="87">
        <f t="shared" si="37"/>
        <v>4982.71</v>
      </c>
      <c r="AP124" s="87">
        <f t="shared" si="37"/>
        <v>6733.26</v>
      </c>
      <c r="AQ124" s="87">
        <f t="shared" si="37"/>
        <v>7174.94</v>
      </c>
      <c r="AR124" s="87">
        <f t="shared" si="37"/>
        <v>5153.53</v>
      </c>
      <c r="AS124" s="87">
        <f t="shared" si="37"/>
        <v>4437.3500000000004</v>
      </c>
      <c r="AT124" s="87">
        <f t="shared" si="37"/>
        <v>6705.44</v>
      </c>
      <c r="AU124" s="87">
        <f t="shared" si="37"/>
        <v>6301.27</v>
      </c>
      <c r="AV124" s="87">
        <f t="shared" si="37"/>
        <v>6681.79</v>
      </c>
      <c r="AW124" s="87">
        <f t="shared" si="37"/>
        <v>8959.83</v>
      </c>
      <c r="AX124" s="87"/>
      <c r="AY124" s="88">
        <f t="shared" si="35"/>
        <v>84454.32</v>
      </c>
      <c r="AZ124" s="88">
        <f>ROUND(SUM(AZ92:AZ123),5)</f>
        <v>171350</v>
      </c>
      <c r="BA124" s="88">
        <f>ROUND(SUM(BA92:BA123),5)</f>
        <v>172150</v>
      </c>
      <c r="BB124" s="89"/>
    </row>
    <row r="125" spans="1:54" x14ac:dyDescent="0.3">
      <c r="A125" s="50"/>
      <c r="B125" s="50"/>
      <c r="C125" s="50"/>
      <c r="D125" s="50"/>
      <c r="E125" s="50"/>
      <c r="F125" s="50"/>
      <c r="G125" s="50"/>
      <c r="H125" s="51"/>
      <c r="I125" s="51"/>
      <c r="J125" s="51"/>
      <c r="K125" s="51"/>
      <c r="L125" s="51"/>
      <c r="M125" s="51"/>
      <c r="N125" s="51"/>
      <c r="O125" s="51"/>
      <c r="P125" s="51"/>
      <c r="Q125" s="51"/>
      <c r="R125" s="51"/>
      <c r="S125" s="51"/>
      <c r="T125" s="51"/>
      <c r="U125" s="51"/>
      <c r="V125" s="51"/>
      <c r="W125" s="51"/>
      <c r="AB125" s="86"/>
      <c r="AC125" s="86"/>
      <c r="AD125" s="86"/>
      <c r="AE125" s="86"/>
      <c r="AF125" s="86"/>
      <c r="AG125" s="86"/>
      <c r="AH125" s="87"/>
      <c r="AI125" s="87"/>
      <c r="AJ125" s="87"/>
      <c r="AK125" s="87"/>
      <c r="AL125" s="87"/>
      <c r="AM125" s="87"/>
      <c r="AN125" s="87"/>
      <c r="AO125" s="87"/>
      <c r="AP125" s="87"/>
      <c r="AQ125" s="87"/>
      <c r="AR125" s="87"/>
      <c r="AS125" s="87"/>
      <c r="AT125" s="87"/>
      <c r="AU125" s="87"/>
      <c r="AV125" s="87"/>
      <c r="AW125" s="87"/>
      <c r="AX125" s="87"/>
      <c r="AY125" s="88"/>
      <c r="AZ125" s="88"/>
      <c r="BA125" s="88"/>
      <c r="BB125" s="89"/>
    </row>
    <row r="126" spans="1:54" x14ac:dyDescent="0.3">
      <c r="A126" s="50"/>
      <c r="B126" s="50"/>
      <c r="C126" s="50"/>
      <c r="D126" s="50"/>
      <c r="E126" s="50"/>
      <c r="F126" s="50"/>
      <c r="G126" s="50"/>
      <c r="H126" s="51"/>
      <c r="I126" s="51"/>
      <c r="J126" s="51"/>
      <c r="K126" s="51"/>
      <c r="L126" s="51"/>
      <c r="M126" s="51"/>
      <c r="N126" s="51"/>
      <c r="O126" s="51"/>
      <c r="P126" s="51"/>
      <c r="Q126" s="51"/>
      <c r="R126" s="51"/>
      <c r="S126" s="51"/>
      <c r="T126" s="51"/>
      <c r="U126" s="51"/>
      <c r="V126" s="51"/>
      <c r="W126" s="51"/>
      <c r="AB126" s="86"/>
      <c r="AC126" s="86"/>
      <c r="AD126" s="86"/>
      <c r="AE126" s="86"/>
      <c r="AF126" s="86"/>
      <c r="AG126" s="86"/>
      <c r="AH126" s="87"/>
      <c r="AI126" s="87"/>
      <c r="AJ126" s="87"/>
      <c r="AK126" s="87"/>
      <c r="AL126" s="87"/>
      <c r="AM126" s="87"/>
      <c r="AN126" s="87"/>
      <c r="AO126" s="87"/>
      <c r="AP126" s="87"/>
      <c r="AQ126" s="87"/>
      <c r="AR126" s="87"/>
      <c r="AS126" s="87"/>
      <c r="AT126" s="87"/>
      <c r="AU126" s="87"/>
      <c r="AV126" s="87"/>
      <c r="AW126" s="87"/>
      <c r="AX126" s="87"/>
      <c r="AY126" s="88"/>
      <c r="AZ126" s="88"/>
      <c r="BA126" s="88"/>
      <c r="BB126" s="89"/>
    </row>
    <row r="127" spans="1:54" x14ac:dyDescent="0.3">
      <c r="A127" s="50"/>
      <c r="B127" s="50"/>
      <c r="C127" s="50"/>
      <c r="D127" s="50"/>
      <c r="E127" s="50"/>
      <c r="F127" s="50"/>
      <c r="G127" s="50"/>
      <c r="H127" s="51"/>
      <c r="I127" s="51"/>
      <c r="J127" s="51"/>
      <c r="K127" s="51"/>
      <c r="L127" s="51"/>
      <c r="M127" s="51"/>
      <c r="N127" s="51"/>
      <c r="O127" s="51"/>
      <c r="P127" s="51"/>
      <c r="Q127" s="51"/>
      <c r="R127" s="51"/>
      <c r="S127" s="51"/>
      <c r="T127" s="51"/>
      <c r="U127" s="51"/>
      <c r="V127" s="51"/>
      <c r="W127" s="51"/>
      <c r="AB127" s="86"/>
      <c r="AC127" s="86"/>
      <c r="AD127" s="86"/>
      <c r="AE127" s="86"/>
      <c r="AF127" s="86"/>
      <c r="AG127" s="86"/>
      <c r="AH127" s="87"/>
      <c r="AI127" s="87"/>
      <c r="AJ127" s="87"/>
      <c r="AK127" s="87"/>
      <c r="AL127" s="87"/>
      <c r="AM127" s="87"/>
      <c r="AN127" s="87"/>
      <c r="AO127" s="87"/>
      <c r="AP127" s="87"/>
      <c r="AQ127" s="87"/>
      <c r="AR127" s="87"/>
      <c r="AS127" s="87"/>
      <c r="AT127" s="87"/>
      <c r="AU127" s="87"/>
      <c r="AV127" s="87"/>
      <c r="AW127" s="87"/>
      <c r="AX127" s="87"/>
      <c r="AY127" s="88"/>
      <c r="AZ127" s="88"/>
      <c r="BA127" s="88"/>
      <c r="BB127" s="89"/>
    </row>
    <row r="128" spans="1:54" x14ac:dyDescent="0.3">
      <c r="A128" s="50"/>
      <c r="B128" s="50"/>
      <c r="C128" s="50"/>
      <c r="D128" s="50"/>
      <c r="E128" s="50"/>
      <c r="F128" s="50"/>
      <c r="G128" s="50"/>
      <c r="H128" s="51"/>
      <c r="I128" s="51"/>
      <c r="J128" s="51"/>
      <c r="K128" s="51"/>
      <c r="L128" s="51"/>
      <c r="M128" s="51"/>
      <c r="N128" s="51"/>
      <c r="O128" s="51"/>
      <c r="P128" s="51"/>
      <c r="Q128" s="51"/>
      <c r="R128" s="51"/>
      <c r="S128" s="51"/>
      <c r="T128" s="51"/>
      <c r="U128" s="51"/>
      <c r="V128" s="51"/>
      <c r="W128" s="51"/>
      <c r="AB128" s="86"/>
      <c r="AC128" s="86"/>
      <c r="AD128" s="86"/>
      <c r="AE128" s="86"/>
      <c r="AF128" s="86"/>
      <c r="AG128" s="86"/>
      <c r="AH128" s="87"/>
      <c r="AI128" s="87"/>
      <c r="AJ128" s="87"/>
      <c r="AK128" s="87"/>
      <c r="AL128" s="87"/>
      <c r="AM128" s="87"/>
      <c r="AN128" s="87"/>
      <c r="AO128" s="87"/>
      <c r="AP128" s="87"/>
      <c r="AQ128" s="87"/>
      <c r="AR128" s="87"/>
      <c r="AS128" s="87"/>
      <c r="AT128" s="87"/>
      <c r="AU128" s="87"/>
      <c r="AV128" s="87"/>
      <c r="AW128" s="87"/>
      <c r="AX128" s="87"/>
      <c r="AY128" s="88"/>
      <c r="AZ128" s="88"/>
      <c r="BA128" s="88"/>
      <c r="BB128" s="89"/>
    </row>
    <row r="129" spans="1:54" x14ac:dyDescent="0.3">
      <c r="A129" s="50"/>
      <c r="B129" s="50"/>
      <c r="C129" s="50"/>
      <c r="D129" s="50"/>
      <c r="E129" s="50"/>
      <c r="F129" s="50"/>
      <c r="G129" s="50"/>
      <c r="H129" s="51"/>
      <c r="I129" s="51"/>
      <c r="J129" s="51"/>
      <c r="K129" s="51"/>
      <c r="L129" s="51"/>
      <c r="M129" s="51"/>
      <c r="N129" s="51"/>
      <c r="O129" s="51"/>
      <c r="P129" s="51"/>
      <c r="Q129" s="51"/>
      <c r="R129" s="51"/>
      <c r="S129" s="51"/>
      <c r="T129" s="51"/>
      <c r="U129" s="51"/>
      <c r="V129" s="51"/>
      <c r="W129" s="51"/>
      <c r="AB129" s="86"/>
      <c r="AC129" s="86"/>
      <c r="AD129" s="86"/>
      <c r="AE129" s="86"/>
      <c r="AF129" s="86"/>
      <c r="AG129" s="86"/>
      <c r="AH129" s="87"/>
      <c r="AI129" s="87"/>
      <c r="AJ129" s="87"/>
      <c r="AK129" s="87"/>
      <c r="AL129" s="87"/>
      <c r="AM129" s="87"/>
      <c r="AN129" s="87"/>
      <c r="AO129" s="87"/>
      <c r="AP129" s="87"/>
      <c r="AQ129" s="87"/>
      <c r="AR129" s="87"/>
      <c r="AS129" s="87"/>
      <c r="AT129" s="87"/>
      <c r="AU129" s="87"/>
      <c r="AV129" s="87"/>
      <c r="AW129" s="87"/>
      <c r="AX129" s="87"/>
      <c r="AY129" s="88"/>
      <c r="AZ129" s="88"/>
      <c r="BA129" s="88"/>
      <c r="BB129" s="89"/>
    </row>
    <row r="130" spans="1:54" x14ac:dyDescent="0.3">
      <c r="A130" s="50"/>
      <c r="B130" s="50"/>
      <c r="C130" s="50"/>
      <c r="D130" s="50"/>
      <c r="E130" s="50"/>
      <c r="F130" s="50"/>
      <c r="G130" s="50"/>
      <c r="H130" s="51"/>
      <c r="I130" s="51"/>
      <c r="J130" s="51"/>
      <c r="K130" s="51"/>
      <c r="L130" s="51"/>
      <c r="M130" s="51"/>
      <c r="N130" s="51"/>
      <c r="O130" s="51"/>
      <c r="P130" s="51"/>
      <c r="Q130" s="51"/>
      <c r="R130" s="51"/>
      <c r="S130" s="51"/>
      <c r="T130" s="51"/>
      <c r="U130" s="51"/>
      <c r="V130" s="51"/>
      <c r="W130" s="51"/>
      <c r="AB130" s="86"/>
      <c r="AC130" s="86"/>
      <c r="AD130" s="86"/>
      <c r="AE130" s="86"/>
      <c r="AF130" s="86"/>
      <c r="AG130" s="86"/>
      <c r="AH130" s="87"/>
      <c r="AI130" s="87"/>
      <c r="AJ130" s="87"/>
      <c r="AK130" s="87"/>
      <c r="AL130" s="87"/>
      <c r="AM130" s="87"/>
      <c r="AN130" s="87"/>
      <c r="AO130" s="87"/>
      <c r="AP130" s="87"/>
      <c r="AQ130" s="87"/>
      <c r="AR130" s="87"/>
      <c r="AS130" s="87"/>
      <c r="AT130" s="87"/>
      <c r="AU130" s="87"/>
      <c r="AV130" s="87"/>
      <c r="AW130" s="87"/>
      <c r="AX130" s="87"/>
      <c r="AY130" s="88"/>
      <c r="AZ130" s="88"/>
      <c r="BA130" s="88"/>
      <c r="BB130" s="89"/>
    </row>
    <row r="131" spans="1:54" x14ac:dyDescent="0.3">
      <c r="A131" s="50"/>
      <c r="B131" s="50"/>
      <c r="C131" s="50"/>
      <c r="D131" s="50"/>
      <c r="E131" s="50"/>
      <c r="F131" s="50"/>
      <c r="G131" s="50"/>
      <c r="H131" s="51"/>
      <c r="I131" s="51"/>
      <c r="J131" s="51"/>
      <c r="K131" s="51"/>
      <c r="L131" s="51"/>
      <c r="M131" s="51"/>
      <c r="N131" s="51"/>
      <c r="O131" s="51"/>
      <c r="P131" s="51"/>
      <c r="Q131" s="51"/>
      <c r="R131" s="51"/>
      <c r="S131" s="51"/>
      <c r="T131" s="51"/>
      <c r="U131" s="51"/>
      <c r="V131" s="51"/>
      <c r="W131" s="51"/>
      <c r="AB131" s="86"/>
      <c r="AC131" s="86"/>
      <c r="AD131" s="86"/>
      <c r="AE131" s="86"/>
      <c r="AF131" s="86"/>
      <c r="AG131" s="86"/>
      <c r="AH131" s="87"/>
      <c r="AI131" s="87"/>
      <c r="AJ131" s="87"/>
      <c r="AK131" s="87"/>
      <c r="AL131" s="87"/>
      <c r="AM131" s="87"/>
      <c r="AN131" s="87"/>
      <c r="AO131" s="87"/>
      <c r="AP131" s="87"/>
      <c r="AQ131" s="87"/>
      <c r="AR131" s="87"/>
      <c r="AS131" s="87"/>
      <c r="AT131" s="87"/>
      <c r="AU131" s="87"/>
      <c r="AV131" s="87"/>
      <c r="AW131" s="87"/>
      <c r="AX131" s="87"/>
      <c r="AY131" s="88"/>
      <c r="AZ131" s="88"/>
      <c r="BA131" s="88"/>
      <c r="BB131" s="89"/>
    </row>
    <row r="132" spans="1:54" x14ac:dyDescent="0.3">
      <c r="A132" s="50"/>
      <c r="B132" s="50"/>
      <c r="C132" s="50"/>
      <c r="D132" s="50"/>
      <c r="E132" s="50"/>
      <c r="F132" s="50"/>
      <c r="G132" s="50"/>
      <c r="H132" s="51"/>
      <c r="I132" s="51"/>
      <c r="J132" s="51"/>
      <c r="K132" s="51"/>
      <c r="L132" s="51"/>
      <c r="M132" s="51"/>
      <c r="N132" s="51"/>
      <c r="O132" s="51"/>
      <c r="P132" s="51"/>
      <c r="Q132" s="51"/>
      <c r="R132" s="51"/>
      <c r="S132" s="51"/>
      <c r="T132" s="51"/>
      <c r="U132" s="51"/>
      <c r="V132" s="51"/>
      <c r="W132" s="51"/>
      <c r="AB132" s="86"/>
      <c r="AC132" s="86"/>
      <c r="AD132" s="86"/>
      <c r="AE132" s="86"/>
      <c r="AF132" s="86"/>
      <c r="AG132" s="86"/>
      <c r="AH132" s="87"/>
      <c r="AI132" s="87"/>
      <c r="AJ132" s="87"/>
      <c r="AK132" s="87"/>
      <c r="AL132" s="87"/>
      <c r="AM132" s="87"/>
      <c r="AN132" s="87"/>
      <c r="AO132" s="87"/>
      <c r="AP132" s="87"/>
      <c r="AQ132" s="87"/>
      <c r="AR132" s="87"/>
      <c r="AS132" s="87"/>
      <c r="AT132" s="87"/>
      <c r="AU132" s="87"/>
      <c r="AV132" s="87"/>
      <c r="AW132" s="87"/>
      <c r="AX132" s="87"/>
      <c r="AY132" s="88"/>
      <c r="AZ132" s="88"/>
      <c r="BA132" s="88"/>
      <c r="BB132" s="89"/>
    </row>
    <row r="133" spans="1:54" x14ac:dyDescent="0.3">
      <c r="A133" s="50"/>
      <c r="B133" s="50"/>
      <c r="C133" s="50"/>
      <c r="D133" s="50"/>
      <c r="E133" s="50"/>
      <c r="F133" s="50"/>
      <c r="G133" s="50"/>
      <c r="H133" s="51"/>
      <c r="I133" s="51"/>
      <c r="J133" s="51"/>
      <c r="K133" s="51"/>
      <c r="L133" s="51"/>
      <c r="M133" s="51"/>
      <c r="N133" s="51"/>
      <c r="O133" s="51"/>
      <c r="P133" s="51"/>
      <c r="Q133" s="51"/>
      <c r="R133" s="51"/>
      <c r="S133" s="51"/>
      <c r="T133" s="51"/>
      <c r="U133" s="51"/>
      <c r="V133" s="51"/>
      <c r="W133" s="51"/>
      <c r="AB133" s="86"/>
      <c r="AC133" s="86"/>
      <c r="AD133" s="86"/>
      <c r="AE133" s="86"/>
      <c r="AF133" s="86"/>
      <c r="AG133" s="86"/>
      <c r="AH133" s="87"/>
      <c r="AI133" s="87"/>
      <c r="AJ133" s="87"/>
      <c r="AK133" s="87"/>
      <c r="AL133" s="87"/>
      <c r="AM133" s="87"/>
      <c r="AN133" s="87"/>
      <c r="AO133" s="87"/>
      <c r="AP133" s="87"/>
      <c r="AQ133" s="87"/>
      <c r="AR133" s="87"/>
      <c r="AS133" s="87"/>
      <c r="AT133" s="87"/>
      <c r="AU133" s="87"/>
      <c r="AV133" s="87"/>
      <c r="AW133" s="87"/>
      <c r="AX133" s="87"/>
      <c r="AY133" s="88"/>
      <c r="AZ133" s="88"/>
      <c r="BA133" s="88"/>
      <c r="BB133" s="89"/>
    </row>
    <row r="134" spans="1:54" x14ac:dyDescent="0.3">
      <c r="A134" s="50"/>
      <c r="B134" s="50"/>
      <c r="C134" s="50"/>
      <c r="D134" s="50"/>
      <c r="E134" s="50"/>
      <c r="F134" s="50"/>
      <c r="G134" s="50"/>
      <c r="H134" s="51"/>
      <c r="I134" s="51"/>
      <c r="J134" s="51"/>
      <c r="K134" s="51"/>
      <c r="L134" s="51"/>
      <c r="M134" s="51"/>
      <c r="N134" s="51"/>
      <c r="O134" s="51"/>
      <c r="P134" s="51"/>
      <c r="Q134" s="51"/>
      <c r="R134" s="51"/>
      <c r="S134" s="51"/>
      <c r="T134" s="51"/>
      <c r="U134" s="51"/>
      <c r="V134" s="51"/>
      <c r="W134" s="51"/>
      <c r="AB134" s="86"/>
      <c r="AC134" s="86"/>
      <c r="AD134" s="86"/>
      <c r="AE134" s="86"/>
      <c r="AF134" s="86"/>
      <c r="AG134" s="86"/>
      <c r="AH134" s="87"/>
      <c r="AI134" s="87"/>
      <c r="AJ134" s="87"/>
      <c r="AK134" s="87"/>
      <c r="AL134" s="87"/>
      <c r="AM134" s="87"/>
      <c r="AN134" s="87"/>
      <c r="AO134" s="87"/>
      <c r="AP134" s="87"/>
      <c r="AQ134" s="87"/>
      <c r="AR134" s="87"/>
      <c r="AS134" s="87"/>
      <c r="AT134" s="87"/>
      <c r="AU134" s="87"/>
      <c r="AV134" s="87"/>
      <c r="AW134" s="87"/>
      <c r="AX134" s="87"/>
      <c r="AY134" s="88"/>
      <c r="AZ134" s="88"/>
      <c r="BA134" s="88"/>
      <c r="BB134" s="89"/>
    </row>
    <row r="135" spans="1:54" x14ac:dyDescent="0.3">
      <c r="A135" s="50"/>
      <c r="B135" s="50"/>
      <c r="C135" s="50"/>
      <c r="D135" s="50"/>
      <c r="E135" s="50"/>
      <c r="F135" s="50"/>
      <c r="G135" s="50"/>
      <c r="H135" s="51"/>
      <c r="I135" s="51"/>
      <c r="J135" s="51"/>
      <c r="K135" s="51"/>
      <c r="L135" s="51"/>
      <c r="M135" s="51"/>
      <c r="N135" s="51"/>
      <c r="O135" s="51"/>
      <c r="P135" s="51"/>
      <c r="Q135" s="51"/>
      <c r="R135" s="51"/>
      <c r="S135" s="51"/>
      <c r="T135" s="51"/>
      <c r="U135" s="51"/>
      <c r="V135" s="51"/>
      <c r="W135" s="51"/>
      <c r="AB135" s="86"/>
      <c r="AC135" s="86"/>
      <c r="AD135" s="86"/>
      <c r="AE135" s="86"/>
      <c r="AF135" s="86"/>
      <c r="AG135" s="86"/>
      <c r="AH135" s="87"/>
      <c r="AI135" s="87"/>
      <c r="AJ135" s="87"/>
      <c r="AK135" s="87"/>
      <c r="AL135" s="87"/>
      <c r="AM135" s="87"/>
      <c r="AN135" s="87"/>
      <c r="AO135" s="87"/>
      <c r="AP135" s="87"/>
      <c r="AQ135" s="87"/>
      <c r="AR135" s="87"/>
      <c r="AS135" s="87"/>
      <c r="AT135" s="87"/>
      <c r="AU135" s="87"/>
      <c r="AV135" s="87"/>
      <c r="AW135" s="87"/>
      <c r="AX135" s="87"/>
      <c r="AY135" s="88"/>
      <c r="AZ135" s="88"/>
      <c r="BA135" s="88"/>
      <c r="BB135" s="89"/>
    </row>
    <row r="136" spans="1:54" x14ac:dyDescent="0.3">
      <c r="A136" s="50"/>
      <c r="B136" s="50"/>
      <c r="C136" s="50"/>
      <c r="D136" s="50"/>
      <c r="E136" s="50"/>
      <c r="F136" s="50" t="s">
        <v>163</v>
      </c>
      <c r="G136" s="50"/>
      <c r="H136" s="51"/>
      <c r="I136" s="51"/>
      <c r="J136" s="51"/>
      <c r="K136" s="51"/>
      <c r="L136" s="51"/>
      <c r="M136" s="51"/>
      <c r="N136" s="51"/>
      <c r="O136" s="51"/>
      <c r="P136" s="51"/>
      <c r="Q136" s="51"/>
      <c r="R136" s="51"/>
      <c r="S136" s="51"/>
      <c r="T136" s="51"/>
      <c r="U136" s="51"/>
      <c r="V136" s="51"/>
      <c r="W136" s="51"/>
      <c r="AB136" s="86"/>
      <c r="AC136" s="86"/>
      <c r="AD136" s="86"/>
      <c r="AE136" s="86"/>
      <c r="AF136" s="86" t="s">
        <v>163</v>
      </c>
      <c r="AG136" s="86"/>
      <c r="AH136" s="87"/>
      <c r="AI136" s="87"/>
      <c r="AJ136" s="87"/>
      <c r="AK136" s="87"/>
      <c r="AL136" s="87"/>
      <c r="AM136" s="87"/>
      <c r="AN136" s="87"/>
      <c r="AO136" s="87"/>
      <c r="AP136" s="87"/>
      <c r="AQ136" s="87"/>
      <c r="AR136" s="87"/>
      <c r="AS136" s="87"/>
      <c r="AT136" s="87"/>
      <c r="AU136" s="87"/>
      <c r="AV136" s="87"/>
      <c r="AW136" s="87"/>
      <c r="AX136" s="87"/>
      <c r="AY136" s="88"/>
      <c r="AZ136" s="88"/>
      <c r="BA136" s="88"/>
      <c r="BB136" s="89"/>
    </row>
    <row r="137" spans="1:54" x14ac:dyDescent="0.3">
      <c r="A137" s="50"/>
      <c r="B137" s="50"/>
      <c r="C137" s="50"/>
      <c r="D137" s="50"/>
      <c r="E137" s="50"/>
      <c r="F137" s="50"/>
      <c r="G137" s="50" t="s">
        <v>164</v>
      </c>
      <c r="H137" s="51">
        <v>1792.61</v>
      </c>
      <c r="I137" s="51">
        <v>0</v>
      </c>
      <c r="J137" s="51">
        <v>0</v>
      </c>
      <c r="K137" s="51">
        <v>387.88</v>
      </c>
      <c r="L137" s="51">
        <f>2523.37-1900</f>
        <v>623.36999999999989</v>
      </c>
      <c r="M137" s="51">
        <v>2521.58</v>
      </c>
      <c r="N137" s="51">
        <v>2451.31</v>
      </c>
      <c r="O137" s="51">
        <v>0</v>
      </c>
      <c r="P137" s="51">
        <v>223.58</v>
      </c>
      <c r="Q137" s="51">
        <v>0</v>
      </c>
      <c r="R137" s="51">
        <v>989.58</v>
      </c>
      <c r="S137" s="51">
        <v>190</v>
      </c>
      <c r="T137" s="51"/>
      <c r="U137" s="51">
        <f t="shared" ref="U137:U149" si="38">ROUND(SUM(H137:T137),5)</f>
        <v>9179.91</v>
      </c>
      <c r="V137" s="67">
        <v>10000</v>
      </c>
      <c r="W137" s="67">
        <v>15000</v>
      </c>
      <c r="AB137" s="86"/>
      <c r="AC137" s="86"/>
      <c r="AD137" s="86"/>
      <c r="AE137" s="86"/>
      <c r="AF137" s="86"/>
      <c r="AG137" s="86" t="s">
        <v>164</v>
      </c>
      <c r="AH137" s="87"/>
      <c r="AI137" s="87"/>
      <c r="AJ137" s="87"/>
      <c r="AK137" s="87"/>
      <c r="AL137" s="87">
        <v>0</v>
      </c>
      <c r="AM137" s="87">
        <v>0</v>
      </c>
      <c r="AN137" s="87">
        <v>256.27</v>
      </c>
      <c r="AO137" s="87">
        <v>0</v>
      </c>
      <c r="AP137" s="87">
        <v>309.95</v>
      </c>
      <c r="AQ137" s="87">
        <v>0</v>
      </c>
      <c r="AR137" s="87">
        <v>0</v>
      </c>
      <c r="AS137" s="87">
        <v>100</v>
      </c>
      <c r="AT137" s="87">
        <v>0</v>
      </c>
      <c r="AU137" s="87">
        <v>0</v>
      </c>
      <c r="AV137" s="87">
        <v>0</v>
      </c>
      <c r="AW137" s="87">
        <v>0</v>
      </c>
      <c r="AX137" s="87"/>
      <c r="AY137" s="88">
        <f t="shared" ref="AY137:AY149" si="39">ROUND(SUM(AH137:AX137),5)</f>
        <v>666.22</v>
      </c>
      <c r="AZ137" s="88">
        <v>10000</v>
      </c>
      <c r="BA137" s="88">
        <v>10000</v>
      </c>
      <c r="BB137" s="89"/>
    </row>
    <row r="138" spans="1:54" x14ac:dyDescent="0.3">
      <c r="A138" s="50"/>
      <c r="B138" s="50"/>
      <c r="C138" s="50"/>
      <c r="D138" s="50"/>
      <c r="E138" s="50"/>
      <c r="F138" s="50"/>
      <c r="G138" s="50" t="s">
        <v>165</v>
      </c>
      <c r="H138" s="51">
        <v>0</v>
      </c>
      <c r="I138" s="51">
        <v>0</v>
      </c>
      <c r="J138" s="51">
        <v>0</v>
      </c>
      <c r="K138" s="51">
        <v>0</v>
      </c>
      <c r="L138" s="51">
        <v>0</v>
      </c>
      <c r="M138" s="51">
        <v>0</v>
      </c>
      <c r="N138" s="51">
        <v>0</v>
      </c>
      <c r="O138" s="51">
        <v>0</v>
      </c>
      <c r="P138" s="51">
        <v>0</v>
      </c>
      <c r="Q138" s="51">
        <v>0</v>
      </c>
      <c r="R138" s="51">
        <v>0</v>
      </c>
      <c r="S138" s="51">
        <v>0</v>
      </c>
      <c r="T138" s="51"/>
      <c r="U138" s="51">
        <f t="shared" si="38"/>
        <v>0</v>
      </c>
      <c r="V138" s="67">
        <v>2500</v>
      </c>
      <c r="W138" s="67">
        <v>2500</v>
      </c>
      <c r="AB138" s="86"/>
      <c r="AC138" s="86"/>
      <c r="AD138" s="86"/>
      <c r="AE138" s="86"/>
      <c r="AF138" s="86"/>
      <c r="AG138" s="86" t="s">
        <v>165</v>
      </c>
      <c r="AH138" s="87"/>
      <c r="AI138" s="87"/>
      <c r="AJ138" s="87"/>
      <c r="AK138" s="87"/>
      <c r="AL138" s="87">
        <v>260</v>
      </c>
      <c r="AM138" s="87">
        <v>0</v>
      </c>
      <c r="AN138" s="87">
        <v>0</v>
      </c>
      <c r="AO138" s="87">
        <v>0</v>
      </c>
      <c r="AP138" s="87">
        <v>0</v>
      </c>
      <c r="AQ138" s="87">
        <v>0</v>
      </c>
      <c r="AR138" s="87">
        <v>55.85</v>
      </c>
      <c r="AS138" s="87">
        <v>0</v>
      </c>
      <c r="AT138" s="87">
        <v>675</v>
      </c>
      <c r="AU138" s="87">
        <v>1525</v>
      </c>
      <c r="AV138" s="87">
        <v>591</v>
      </c>
      <c r="AW138" s="87">
        <v>0</v>
      </c>
      <c r="AX138" s="87"/>
      <c r="AY138" s="88">
        <f t="shared" si="39"/>
        <v>3106.85</v>
      </c>
      <c r="AZ138" s="88">
        <v>2500</v>
      </c>
      <c r="BA138" s="88">
        <v>2500</v>
      </c>
      <c r="BB138" s="89"/>
    </row>
    <row r="139" spans="1:54" x14ac:dyDescent="0.3">
      <c r="A139" s="50"/>
      <c r="B139" s="50"/>
      <c r="C139" s="50"/>
      <c r="D139" s="50"/>
      <c r="E139" s="50"/>
      <c r="F139" s="50"/>
      <c r="G139" s="50" t="s">
        <v>166</v>
      </c>
      <c r="H139" s="51">
        <v>2668.6</v>
      </c>
      <c r="I139" s="51">
        <v>61</v>
      </c>
      <c r="J139" s="51">
        <v>490</v>
      </c>
      <c r="K139" s="51">
        <v>2228</v>
      </c>
      <c r="L139" s="51">
        <v>2690</v>
      </c>
      <c r="M139" s="51">
        <v>490</v>
      </c>
      <c r="N139" s="51">
        <v>490</v>
      </c>
      <c r="O139" s="51">
        <v>2228</v>
      </c>
      <c r="P139" s="51">
        <v>539.59</v>
      </c>
      <c r="Q139" s="51">
        <v>2135.7199999999998</v>
      </c>
      <c r="R139" s="51">
        <v>2280.1999999999998</v>
      </c>
      <c r="S139" s="51">
        <v>490</v>
      </c>
      <c r="T139" s="51"/>
      <c r="U139" s="51">
        <f t="shared" si="38"/>
        <v>16791.11</v>
      </c>
      <c r="V139" s="67">
        <v>16500</v>
      </c>
      <c r="W139" s="67">
        <v>18000</v>
      </c>
      <c r="AB139" s="86"/>
      <c r="AC139" s="86"/>
      <c r="AD139" s="86"/>
      <c r="AE139" s="86"/>
      <c r="AF139" s="86"/>
      <c r="AG139" s="86" t="s">
        <v>166</v>
      </c>
      <c r="AH139" s="87"/>
      <c r="AI139" s="87"/>
      <c r="AJ139" s="87"/>
      <c r="AK139" s="87"/>
      <c r="AL139" s="87">
        <v>2873.04</v>
      </c>
      <c r="AM139" s="87">
        <v>51</v>
      </c>
      <c r="AN139" s="87">
        <v>490</v>
      </c>
      <c r="AO139" s="87">
        <v>2228</v>
      </c>
      <c r="AP139" s="87">
        <v>650.25</v>
      </c>
      <c r="AQ139" s="87">
        <v>497.74</v>
      </c>
      <c r="AR139" s="87">
        <v>2718</v>
      </c>
      <c r="AS139" s="87">
        <v>490</v>
      </c>
      <c r="AT139" s="87">
        <v>490</v>
      </c>
      <c r="AU139" s="87">
        <v>504.13</v>
      </c>
      <c r="AV139" s="87">
        <v>2433.37</v>
      </c>
      <c r="AW139" s="87">
        <v>0</v>
      </c>
      <c r="AX139" s="87"/>
      <c r="AY139" s="88">
        <f t="shared" si="39"/>
        <v>13425.53</v>
      </c>
      <c r="AZ139" s="88">
        <v>16500</v>
      </c>
      <c r="BA139" s="88">
        <v>16500</v>
      </c>
      <c r="BB139" s="89"/>
    </row>
    <row r="140" spans="1:54" x14ac:dyDescent="0.3">
      <c r="A140" s="50"/>
      <c r="B140" s="50"/>
      <c r="C140" s="50"/>
      <c r="D140" s="50"/>
      <c r="E140" s="50"/>
      <c r="F140" s="50"/>
      <c r="G140" s="50" t="s">
        <v>167</v>
      </c>
      <c r="H140" s="51">
        <v>900</v>
      </c>
      <c r="I140" s="51">
        <v>46</v>
      </c>
      <c r="J140" s="51">
        <v>450</v>
      </c>
      <c r="K140" s="51">
        <v>496</v>
      </c>
      <c r="L140" s="51">
        <v>691</v>
      </c>
      <c r="M140" s="51">
        <v>450</v>
      </c>
      <c r="N140" s="51">
        <v>546</v>
      </c>
      <c r="O140" s="51">
        <v>500</v>
      </c>
      <c r="P140" s="51">
        <v>546</v>
      </c>
      <c r="Q140" s="51">
        <v>546</v>
      </c>
      <c r="R140" s="51">
        <v>500</v>
      </c>
      <c r="S140" s="51">
        <v>450</v>
      </c>
      <c r="T140" s="51"/>
      <c r="U140" s="51">
        <f t="shared" si="38"/>
        <v>6121</v>
      </c>
      <c r="V140" s="67">
        <v>6000</v>
      </c>
      <c r="W140" s="67">
        <v>6800</v>
      </c>
      <c r="AB140" s="86"/>
      <c r="AC140" s="86"/>
      <c r="AD140" s="86"/>
      <c r="AE140" s="86"/>
      <c r="AF140" s="86"/>
      <c r="AG140" s="86" t="s">
        <v>167</v>
      </c>
      <c r="AH140" s="87"/>
      <c r="AI140" s="87"/>
      <c r="AJ140" s="87"/>
      <c r="AK140" s="87"/>
      <c r="AL140" s="87">
        <v>496</v>
      </c>
      <c r="AM140" s="87">
        <v>450</v>
      </c>
      <c r="AN140" s="87">
        <v>496</v>
      </c>
      <c r="AO140" s="87">
        <v>450</v>
      </c>
      <c r="AP140" s="87">
        <v>450</v>
      </c>
      <c r="AQ140" s="87">
        <v>496</v>
      </c>
      <c r="AR140" s="87">
        <v>496</v>
      </c>
      <c r="AS140" s="87">
        <v>450</v>
      </c>
      <c r="AT140" s="87">
        <v>496</v>
      </c>
      <c r="AU140" s="87">
        <v>450</v>
      </c>
      <c r="AV140" s="87">
        <v>496</v>
      </c>
      <c r="AW140" s="87">
        <v>450</v>
      </c>
      <c r="AX140" s="87"/>
      <c r="AY140" s="88">
        <f t="shared" si="39"/>
        <v>5676</v>
      </c>
      <c r="AZ140" s="88">
        <v>6000</v>
      </c>
      <c r="BA140" s="88">
        <v>6000</v>
      </c>
      <c r="BB140" s="89"/>
    </row>
    <row r="141" spans="1:54" x14ac:dyDescent="0.3">
      <c r="A141" s="50"/>
      <c r="B141" s="50"/>
      <c r="C141" s="50"/>
      <c r="D141" s="50"/>
      <c r="E141" s="50"/>
      <c r="F141" s="50"/>
      <c r="G141" s="50" t="s">
        <v>168</v>
      </c>
      <c r="H141" s="51">
        <v>0</v>
      </c>
      <c r="I141" s="51">
        <v>1400</v>
      </c>
      <c r="J141" s="51">
        <v>0</v>
      </c>
      <c r="K141" s="51">
        <v>0</v>
      </c>
      <c r="L141" s="51">
        <v>400</v>
      </c>
      <c r="M141" s="51">
        <v>0</v>
      </c>
      <c r="N141" s="51">
        <v>0</v>
      </c>
      <c r="O141" s="51">
        <v>0</v>
      </c>
      <c r="P141" s="51">
        <v>0</v>
      </c>
      <c r="Q141" s="51">
        <v>0</v>
      </c>
      <c r="R141" s="51">
        <v>0</v>
      </c>
      <c r="S141" s="51">
        <v>800</v>
      </c>
      <c r="T141" s="51"/>
      <c r="U141" s="51">
        <f t="shared" si="38"/>
        <v>2600</v>
      </c>
      <c r="V141" s="67">
        <v>2500</v>
      </c>
      <c r="W141" s="67">
        <v>2650</v>
      </c>
      <c r="AB141" s="86"/>
      <c r="AC141" s="86"/>
      <c r="AD141" s="86"/>
      <c r="AE141" s="86"/>
      <c r="AF141" s="86"/>
      <c r="AG141" s="86" t="s">
        <v>168</v>
      </c>
      <c r="AH141" s="87"/>
      <c r="AI141" s="87"/>
      <c r="AJ141" s="87"/>
      <c r="AK141" s="87"/>
      <c r="AL141" s="87">
        <v>300</v>
      </c>
      <c r="AM141" s="87">
        <v>0</v>
      </c>
      <c r="AN141" s="87">
        <v>0</v>
      </c>
      <c r="AO141" s="87">
        <v>0</v>
      </c>
      <c r="AP141" s="87">
        <v>0</v>
      </c>
      <c r="AQ141" s="87">
        <v>0</v>
      </c>
      <c r="AR141" s="87">
        <v>0</v>
      </c>
      <c r="AS141" s="87">
        <v>0</v>
      </c>
      <c r="AT141" s="87">
        <v>0</v>
      </c>
      <c r="AU141" s="87">
        <v>0</v>
      </c>
      <c r="AV141" s="87">
        <v>0</v>
      </c>
      <c r="AW141" s="87">
        <v>0</v>
      </c>
      <c r="AX141" s="87"/>
      <c r="AY141" s="88">
        <f t="shared" si="39"/>
        <v>300</v>
      </c>
      <c r="AZ141" s="88">
        <v>3500</v>
      </c>
      <c r="BA141" s="88">
        <v>2500</v>
      </c>
      <c r="BB141" s="89" t="s">
        <v>252</v>
      </c>
    </row>
    <row r="142" spans="1:54" x14ac:dyDescent="0.3">
      <c r="A142" s="50"/>
      <c r="B142" s="50"/>
      <c r="C142" s="50"/>
      <c r="D142" s="50"/>
      <c r="E142" s="50"/>
      <c r="F142" s="50"/>
      <c r="G142" s="50" t="s">
        <v>169</v>
      </c>
      <c r="H142" s="51">
        <v>0</v>
      </c>
      <c r="I142" s="51">
        <v>0</v>
      </c>
      <c r="J142" s="51">
        <v>155</v>
      </c>
      <c r="K142" s="51">
        <v>172</v>
      </c>
      <c r="L142" s="51">
        <v>0</v>
      </c>
      <c r="M142" s="51">
        <v>930</v>
      </c>
      <c r="N142" s="51">
        <v>0</v>
      </c>
      <c r="O142" s="51">
        <v>0</v>
      </c>
      <c r="P142" s="51">
        <v>305</v>
      </c>
      <c r="Q142" s="51">
        <v>0</v>
      </c>
      <c r="R142" s="51">
        <v>761</v>
      </c>
      <c r="S142" s="51">
        <v>465</v>
      </c>
      <c r="T142" s="51"/>
      <c r="U142" s="51">
        <f t="shared" si="38"/>
        <v>2788</v>
      </c>
      <c r="V142" s="67">
        <v>2500</v>
      </c>
      <c r="W142" s="67">
        <v>3000</v>
      </c>
      <c r="AB142" s="86"/>
      <c r="AC142" s="86"/>
      <c r="AD142" s="86"/>
      <c r="AE142" s="86"/>
      <c r="AF142" s="86"/>
      <c r="AG142" s="86" t="s">
        <v>169</v>
      </c>
      <c r="AH142" s="87"/>
      <c r="AI142" s="87"/>
      <c r="AJ142" s="87"/>
      <c r="AK142" s="87"/>
      <c r="AL142" s="87">
        <v>0</v>
      </c>
      <c r="AM142" s="87">
        <v>0</v>
      </c>
      <c r="AN142" s="87">
        <v>389</v>
      </c>
      <c r="AO142" s="87">
        <v>125</v>
      </c>
      <c r="AP142" s="87">
        <v>250</v>
      </c>
      <c r="AQ142" s="87">
        <v>0</v>
      </c>
      <c r="AR142" s="87">
        <v>0</v>
      </c>
      <c r="AS142" s="87">
        <v>0</v>
      </c>
      <c r="AT142" s="87">
        <v>560</v>
      </c>
      <c r="AU142" s="87">
        <v>0</v>
      </c>
      <c r="AV142" s="87">
        <v>250</v>
      </c>
      <c r="AW142" s="87">
        <v>0</v>
      </c>
      <c r="AX142" s="87"/>
      <c r="AY142" s="88">
        <f t="shared" si="39"/>
        <v>1574</v>
      </c>
      <c r="AZ142" s="88">
        <v>2500</v>
      </c>
      <c r="BA142" s="88">
        <v>2500</v>
      </c>
      <c r="BB142" s="89"/>
    </row>
    <row r="143" spans="1:54" ht="13.8" customHeight="1" x14ac:dyDescent="0.3">
      <c r="A143" s="50"/>
      <c r="B143" s="50"/>
      <c r="C143" s="50"/>
      <c r="D143" s="50"/>
      <c r="E143" s="50"/>
      <c r="F143" s="50"/>
      <c r="G143" s="50" t="s">
        <v>170</v>
      </c>
      <c r="H143" s="51">
        <v>0</v>
      </c>
      <c r="I143" s="51">
        <v>0</v>
      </c>
      <c r="J143" s="51">
        <v>0</v>
      </c>
      <c r="K143" s="51">
        <v>0</v>
      </c>
      <c r="L143" s="51">
        <v>0</v>
      </c>
      <c r="M143" s="51">
        <v>0</v>
      </c>
      <c r="N143" s="51">
        <v>0</v>
      </c>
      <c r="O143" s="51">
        <v>0</v>
      </c>
      <c r="P143" s="51">
        <v>0</v>
      </c>
      <c r="Q143" s="51">
        <v>0</v>
      </c>
      <c r="R143" s="51">
        <v>0</v>
      </c>
      <c r="S143" s="51">
        <v>0</v>
      </c>
      <c r="T143" s="51"/>
      <c r="U143" s="51">
        <v>0</v>
      </c>
      <c r="V143" s="67">
        <v>400</v>
      </c>
      <c r="W143" s="67">
        <v>400</v>
      </c>
      <c r="AB143" s="86"/>
      <c r="AC143" s="86"/>
      <c r="AD143" s="86"/>
      <c r="AE143" s="86"/>
      <c r="AF143" s="86"/>
      <c r="AG143" s="86" t="s">
        <v>170</v>
      </c>
      <c r="AH143" s="87"/>
      <c r="AI143" s="87"/>
      <c r="AJ143" s="87"/>
      <c r="AK143" s="87"/>
      <c r="AL143" s="87">
        <v>0</v>
      </c>
      <c r="AM143" s="87">
        <v>0</v>
      </c>
      <c r="AN143" s="87">
        <v>0</v>
      </c>
      <c r="AO143" s="87">
        <v>0</v>
      </c>
      <c r="AP143" s="87">
        <v>0</v>
      </c>
      <c r="AQ143" s="87">
        <v>0</v>
      </c>
      <c r="AR143" s="87">
        <v>0</v>
      </c>
      <c r="AS143" s="87">
        <v>0</v>
      </c>
      <c r="AT143" s="87">
        <v>0</v>
      </c>
      <c r="AU143" s="87">
        <v>0</v>
      </c>
      <c r="AV143" s="87">
        <v>0</v>
      </c>
      <c r="AW143" s="87">
        <v>0</v>
      </c>
      <c r="AX143" s="87"/>
      <c r="AY143" s="88">
        <f t="shared" si="39"/>
        <v>0</v>
      </c>
      <c r="AZ143" s="88">
        <v>250</v>
      </c>
      <c r="BA143" s="88">
        <v>400</v>
      </c>
      <c r="BB143" s="89" t="s">
        <v>263</v>
      </c>
    </row>
    <row r="144" spans="1:54" ht="13.8" customHeight="1" x14ac:dyDescent="0.3">
      <c r="A144" s="50"/>
      <c r="B144" s="50"/>
      <c r="C144" s="50"/>
      <c r="D144" s="50"/>
      <c r="E144" s="50"/>
      <c r="F144" s="50"/>
      <c r="G144" s="50" t="s">
        <v>171</v>
      </c>
      <c r="H144" s="51">
        <v>333.11</v>
      </c>
      <c r="I144" s="51">
        <v>0</v>
      </c>
      <c r="J144" s="51">
        <v>666.22</v>
      </c>
      <c r="K144" s="51">
        <v>71.599999999999994</v>
      </c>
      <c r="L144" s="51">
        <v>666.22</v>
      </c>
      <c r="M144" s="51">
        <v>8306.75</v>
      </c>
      <c r="N144" s="51">
        <v>149.18</v>
      </c>
      <c r="O144" s="51">
        <v>7675.8</v>
      </c>
      <c r="P144" s="51">
        <v>327.41000000000003</v>
      </c>
      <c r="Q144" s="51">
        <v>59.1</v>
      </c>
      <c r="R144" s="51">
        <v>228.97</v>
      </c>
      <c r="S144" s="51">
        <v>758.23</v>
      </c>
      <c r="T144" s="51"/>
      <c r="U144" s="51">
        <f t="shared" si="38"/>
        <v>19242.59</v>
      </c>
      <c r="V144" s="67">
        <v>7500</v>
      </c>
      <c r="W144" s="67">
        <v>7500</v>
      </c>
      <c r="AB144" s="86"/>
      <c r="AC144" s="86"/>
      <c r="AD144" s="86"/>
      <c r="AE144" s="86"/>
      <c r="AF144" s="86"/>
      <c r="AG144" s="86" t="s">
        <v>171</v>
      </c>
      <c r="AH144" s="87"/>
      <c r="AI144" s="87"/>
      <c r="AJ144" s="87"/>
      <c r="AK144" s="87"/>
      <c r="AL144" s="87">
        <v>305.61</v>
      </c>
      <c r="AM144" s="87">
        <v>0</v>
      </c>
      <c r="AN144" s="87">
        <v>611.22</v>
      </c>
      <c r="AO144" s="87">
        <v>305.61</v>
      </c>
      <c r="AP144" s="87">
        <v>305.61</v>
      </c>
      <c r="AQ144" s="87">
        <v>414.25</v>
      </c>
      <c r="AR144" s="87">
        <v>305.61</v>
      </c>
      <c r="AS144" s="87">
        <v>0</v>
      </c>
      <c r="AT144" s="87">
        <v>611.22</v>
      </c>
      <c r="AU144" s="87">
        <v>305.61</v>
      </c>
      <c r="AV144" s="87">
        <v>305.61</v>
      </c>
      <c r="AW144" s="87">
        <v>305.61</v>
      </c>
      <c r="AX144" s="87"/>
      <c r="AY144" s="88">
        <f t="shared" si="39"/>
        <v>3775.96</v>
      </c>
      <c r="AZ144" s="88">
        <v>3700</v>
      </c>
      <c r="BA144" s="88">
        <v>7500</v>
      </c>
      <c r="BB144" s="89" t="s">
        <v>262</v>
      </c>
    </row>
    <row r="145" spans="1:56" ht="13.8" customHeight="1" x14ac:dyDescent="0.3">
      <c r="A145" s="50"/>
      <c r="B145" s="50"/>
      <c r="C145" s="50"/>
      <c r="D145" s="50"/>
      <c r="E145" s="50"/>
      <c r="F145" s="50"/>
      <c r="G145" s="50" t="s">
        <v>172</v>
      </c>
      <c r="H145" s="51">
        <v>187.95</v>
      </c>
      <c r="I145" s="51">
        <v>185.81</v>
      </c>
      <c r="J145" s="51">
        <v>187.35</v>
      </c>
      <c r="K145" s="51">
        <v>471.19</v>
      </c>
      <c r="L145" s="51">
        <v>36.840000000000003</v>
      </c>
      <c r="M145" s="51">
        <v>228.9</v>
      </c>
      <c r="N145" s="51">
        <v>0</v>
      </c>
      <c r="O145" s="51">
        <v>385.67</v>
      </c>
      <c r="P145" s="51">
        <v>484.47</v>
      </c>
      <c r="Q145" s="51">
        <v>184.32</v>
      </c>
      <c r="R145" s="51">
        <v>747.8</v>
      </c>
      <c r="S145" s="51">
        <v>185.81</v>
      </c>
      <c r="T145" s="51"/>
      <c r="U145" s="51">
        <f t="shared" si="38"/>
        <v>3286.11</v>
      </c>
      <c r="V145" s="67">
        <v>4000</v>
      </c>
      <c r="W145" s="67">
        <v>4800</v>
      </c>
      <c r="AB145" s="86"/>
      <c r="AC145" s="86"/>
      <c r="AD145" s="86"/>
      <c r="AE145" s="86"/>
      <c r="AF145" s="86"/>
      <c r="AG145" s="86" t="s">
        <v>172</v>
      </c>
      <c r="AH145" s="87"/>
      <c r="AI145" s="87"/>
      <c r="AJ145" s="87"/>
      <c r="AK145" s="87"/>
      <c r="AL145" s="87">
        <v>330.81</v>
      </c>
      <c r="AM145" s="87">
        <v>96.32</v>
      </c>
      <c r="AN145" s="87">
        <v>169.12</v>
      </c>
      <c r="AO145" s="87">
        <v>97.75</v>
      </c>
      <c r="AP145" s="87">
        <v>134.9</v>
      </c>
      <c r="AQ145" s="87">
        <v>147.91</v>
      </c>
      <c r="AR145" s="87">
        <v>325.38</v>
      </c>
      <c r="AS145" s="87">
        <v>0</v>
      </c>
      <c r="AT145" s="87">
        <v>265.42</v>
      </c>
      <c r="AU145" s="87">
        <v>163.34</v>
      </c>
      <c r="AV145" s="87">
        <v>122.25</v>
      </c>
      <c r="AW145" s="87">
        <v>199.82</v>
      </c>
      <c r="AX145" s="87"/>
      <c r="AY145" s="88">
        <f t="shared" si="39"/>
        <v>2053.02</v>
      </c>
      <c r="AZ145" s="88">
        <v>2800</v>
      </c>
      <c r="BA145" s="88">
        <v>4000</v>
      </c>
      <c r="BB145" s="89" t="s">
        <v>261</v>
      </c>
    </row>
    <row r="146" spans="1:56" x14ac:dyDescent="0.3">
      <c r="A146" s="50"/>
      <c r="B146" s="50"/>
      <c r="C146" s="50"/>
      <c r="D146" s="50"/>
      <c r="E146" s="50"/>
      <c r="F146" s="50"/>
      <c r="G146" s="50" t="s">
        <v>173</v>
      </c>
      <c r="H146" s="51">
        <v>199.95</v>
      </c>
      <c r="I146" s="51">
        <v>764.87</v>
      </c>
      <c r="J146" s="51">
        <v>199.95</v>
      </c>
      <c r="K146" s="51">
        <v>1384.11</v>
      </c>
      <c r="L146" s="51">
        <v>471.42</v>
      </c>
      <c r="M146" s="51">
        <v>1236.1400000000001</v>
      </c>
      <c r="N146" s="51">
        <v>1269.6099999999999</v>
      </c>
      <c r="O146" s="51">
        <v>258.58</v>
      </c>
      <c r="P146" s="51">
        <v>2321.1999999999998</v>
      </c>
      <c r="Q146" s="51">
        <v>1105.0999999999999</v>
      </c>
      <c r="R146" s="51">
        <v>1284.1099999999999</v>
      </c>
      <c r="S146" s="51">
        <v>938.47</v>
      </c>
      <c r="T146" s="51"/>
      <c r="U146" s="51">
        <f t="shared" si="38"/>
        <v>11433.51</v>
      </c>
      <c r="V146" s="67">
        <v>13000</v>
      </c>
      <c r="W146" s="67">
        <v>13000</v>
      </c>
      <c r="AB146" s="86"/>
      <c r="AC146" s="86"/>
      <c r="AD146" s="86"/>
      <c r="AE146" s="86"/>
      <c r="AF146" s="86"/>
      <c r="AG146" s="86" t="s">
        <v>173</v>
      </c>
      <c r="AH146" s="87"/>
      <c r="AI146" s="87"/>
      <c r="AJ146" s="87"/>
      <c r="AK146" s="87"/>
      <c r="AL146" s="87">
        <v>1549.97</v>
      </c>
      <c r="AM146" s="87">
        <v>1016.67</v>
      </c>
      <c r="AN146" s="87">
        <v>1015.39</v>
      </c>
      <c r="AO146" s="87">
        <v>289.32</v>
      </c>
      <c r="AP146" s="87">
        <v>1934.04</v>
      </c>
      <c r="AQ146" s="87">
        <v>903.78</v>
      </c>
      <c r="AR146" s="87">
        <v>1184.33</v>
      </c>
      <c r="AS146" s="87">
        <v>443.68</v>
      </c>
      <c r="AT146" s="87">
        <v>1731.99</v>
      </c>
      <c r="AU146" s="87">
        <v>1022.29</v>
      </c>
      <c r="AV146" s="87">
        <v>833.3</v>
      </c>
      <c r="AW146" s="87">
        <v>572.04999999999995</v>
      </c>
      <c r="AX146" s="87"/>
      <c r="AY146" s="88">
        <f t="shared" si="39"/>
        <v>12496.81</v>
      </c>
      <c r="AZ146" s="88">
        <v>12500</v>
      </c>
      <c r="BA146" s="88">
        <v>13000</v>
      </c>
      <c r="BB146" s="89"/>
    </row>
    <row r="147" spans="1:56" ht="15" thickBot="1" x14ac:dyDescent="0.35">
      <c r="A147" s="50"/>
      <c r="B147" s="50"/>
      <c r="C147" s="50"/>
      <c r="D147" s="50"/>
      <c r="E147" s="50"/>
      <c r="F147" s="50"/>
      <c r="G147" s="50" t="s">
        <v>174</v>
      </c>
      <c r="H147" s="51">
        <v>2011.87</v>
      </c>
      <c r="I147" s="51">
        <v>0</v>
      </c>
      <c r="J147" s="51">
        <v>299.66000000000003</v>
      </c>
      <c r="K147" s="51">
        <v>1323.9</v>
      </c>
      <c r="L147" s="51">
        <v>45.99</v>
      </c>
      <c r="M147" s="51">
        <v>442.46</v>
      </c>
      <c r="N147" s="51">
        <v>0</v>
      </c>
      <c r="O147" s="51">
        <v>342.55</v>
      </c>
      <c r="P147" s="51">
        <v>0</v>
      </c>
      <c r="Q147" s="51">
        <v>60.42</v>
      </c>
      <c r="R147" s="51">
        <v>0</v>
      </c>
      <c r="S147" s="51">
        <v>11382.67</v>
      </c>
      <c r="T147" s="51"/>
      <c r="U147" s="51">
        <f t="shared" si="38"/>
        <v>15909.52</v>
      </c>
      <c r="V147" s="67">
        <v>8500</v>
      </c>
      <c r="W147" s="67">
        <v>8500</v>
      </c>
      <c r="AB147" s="86"/>
      <c r="AC147" s="86"/>
      <c r="AD147" s="86"/>
      <c r="AE147" s="86"/>
      <c r="AF147" s="86"/>
      <c r="AG147" s="86" t="s">
        <v>174</v>
      </c>
      <c r="AH147" s="87"/>
      <c r="AI147" s="87"/>
      <c r="AJ147" s="87"/>
      <c r="AK147" s="87"/>
      <c r="AL147" s="87">
        <v>0</v>
      </c>
      <c r="AM147" s="87">
        <v>0</v>
      </c>
      <c r="AN147" s="87">
        <v>188.42</v>
      </c>
      <c r="AO147" s="87">
        <v>1763.16</v>
      </c>
      <c r="AP147" s="87">
        <v>0</v>
      </c>
      <c r="AQ147" s="87">
        <v>82</v>
      </c>
      <c r="AR147" s="87">
        <v>88</v>
      </c>
      <c r="AS147" s="87">
        <v>0</v>
      </c>
      <c r="AT147" s="87">
        <v>216</v>
      </c>
      <c r="AU147" s="87">
        <v>0</v>
      </c>
      <c r="AV147" s="87">
        <v>0</v>
      </c>
      <c r="AW147" s="87">
        <v>0</v>
      </c>
      <c r="AX147" s="87"/>
      <c r="AY147" s="88">
        <f t="shared" si="39"/>
        <v>2337.58</v>
      </c>
      <c r="AZ147" s="88">
        <v>8500</v>
      </c>
      <c r="BA147" s="88">
        <v>8500</v>
      </c>
      <c r="BB147" s="89"/>
    </row>
    <row r="148" spans="1:56" ht="15" thickBot="1" x14ac:dyDescent="0.35">
      <c r="A148" s="50"/>
      <c r="B148" s="50"/>
      <c r="C148" s="50"/>
      <c r="D148" s="50"/>
      <c r="E148" s="50"/>
      <c r="F148" s="50" t="s">
        <v>175</v>
      </c>
      <c r="G148" s="50"/>
      <c r="H148" s="53">
        <f t="shared" ref="H148:S148" si="40">ROUND(SUM(H136:H147),5)</f>
        <v>8094.09</v>
      </c>
      <c r="I148" s="53">
        <f t="shared" si="40"/>
        <v>2457.6799999999998</v>
      </c>
      <c r="J148" s="53">
        <f t="shared" si="40"/>
        <v>2448.1799999999998</v>
      </c>
      <c r="K148" s="53">
        <f t="shared" si="40"/>
        <v>6534.68</v>
      </c>
      <c r="L148" s="53">
        <f t="shared" si="40"/>
        <v>5624.84</v>
      </c>
      <c r="M148" s="53">
        <f t="shared" si="40"/>
        <v>14605.83</v>
      </c>
      <c r="N148" s="53">
        <f t="shared" si="40"/>
        <v>4906.1000000000004</v>
      </c>
      <c r="O148" s="53">
        <f t="shared" si="40"/>
        <v>11390.6</v>
      </c>
      <c r="P148" s="53">
        <f t="shared" si="40"/>
        <v>4747.25</v>
      </c>
      <c r="Q148" s="53">
        <f t="shared" si="40"/>
        <v>4090.66</v>
      </c>
      <c r="R148" s="53">
        <f t="shared" si="40"/>
        <v>6791.66</v>
      </c>
      <c r="S148" s="53">
        <f t="shared" si="40"/>
        <v>15660.18</v>
      </c>
      <c r="T148" s="53"/>
      <c r="U148" s="53">
        <f t="shared" si="38"/>
        <v>87351.75</v>
      </c>
      <c r="V148" s="53">
        <f>ROUND(SUM(V136:V147),5)</f>
        <v>73400</v>
      </c>
      <c r="W148" s="53">
        <f>ROUND(SUM(W136:W147),5)</f>
        <v>82150</v>
      </c>
      <c r="AB148" s="86"/>
      <c r="AC148" s="86"/>
      <c r="AD148" s="86"/>
      <c r="AE148" s="86" t="s">
        <v>176</v>
      </c>
      <c r="AF148" s="86" t="s">
        <v>175</v>
      </c>
      <c r="AG148" s="86"/>
      <c r="AH148" s="93"/>
      <c r="AI148" s="93"/>
      <c r="AJ148" s="93"/>
      <c r="AK148" s="93"/>
      <c r="AL148" s="93">
        <f t="shared" ref="AL148:AW148" si="41">ROUND(SUM(AL136:AL147),5)</f>
        <v>6115.43</v>
      </c>
      <c r="AM148" s="93">
        <f t="shared" si="41"/>
        <v>1613.99</v>
      </c>
      <c r="AN148" s="93">
        <f t="shared" si="41"/>
        <v>3615.42</v>
      </c>
      <c r="AO148" s="93">
        <f t="shared" si="41"/>
        <v>5258.84</v>
      </c>
      <c r="AP148" s="93">
        <f t="shared" si="41"/>
        <v>4034.75</v>
      </c>
      <c r="AQ148" s="93">
        <f t="shared" si="41"/>
        <v>2541.6799999999998</v>
      </c>
      <c r="AR148" s="93">
        <f t="shared" si="41"/>
        <v>5173.17</v>
      </c>
      <c r="AS148" s="93">
        <f t="shared" si="41"/>
        <v>1483.68</v>
      </c>
      <c r="AT148" s="93">
        <f t="shared" si="41"/>
        <v>5045.63</v>
      </c>
      <c r="AU148" s="93">
        <f t="shared" si="41"/>
        <v>3970.37</v>
      </c>
      <c r="AV148" s="93">
        <f t="shared" si="41"/>
        <v>5031.53</v>
      </c>
      <c r="AW148" s="93">
        <f t="shared" si="41"/>
        <v>1527.48</v>
      </c>
      <c r="AX148" s="93"/>
      <c r="AY148" s="94">
        <f t="shared" si="39"/>
        <v>45411.97</v>
      </c>
      <c r="AZ148" s="94">
        <f>ROUND(SUM(AZ136:AZ147),5)</f>
        <v>68750</v>
      </c>
      <c r="BA148" s="94">
        <f>ROUND(SUM(BA136:BA147),5)</f>
        <v>73400</v>
      </c>
      <c r="BB148" s="95"/>
    </row>
    <row r="149" spans="1:56" x14ac:dyDescent="0.3">
      <c r="A149" s="50"/>
      <c r="B149" s="50"/>
      <c r="C149" s="50"/>
      <c r="D149" s="50"/>
      <c r="E149" s="50" t="s">
        <v>176</v>
      </c>
      <c r="F149" s="50"/>
      <c r="G149" s="50"/>
      <c r="H149" s="51">
        <f t="shared" ref="H149:S149" si="42">ROUND(H72+H76+H124+H148,5)</f>
        <v>12924.06</v>
      </c>
      <c r="I149" s="51">
        <f t="shared" si="42"/>
        <v>11023.44</v>
      </c>
      <c r="J149" s="51">
        <f t="shared" si="42"/>
        <v>11741.11</v>
      </c>
      <c r="K149" s="51">
        <f t="shared" si="42"/>
        <v>25380.53</v>
      </c>
      <c r="L149" s="51">
        <f t="shared" si="42"/>
        <v>14068.64</v>
      </c>
      <c r="M149" s="51">
        <f t="shared" si="42"/>
        <v>23086.62</v>
      </c>
      <c r="N149" s="51">
        <f t="shared" si="42"/>
        <v>12862.43</v>
      </c>
      <c r="O149" s="51">
        <f t="shared" si="42"/>
        <v>16906.099999999999</v>
      </c>
      <c r="P149" s="51">
        <f t="shared" si="42"/>
        <v>11140.94</v>
      </c>
      <c r="Q149" s="51">
        <f t="shared" si="42"/>
        <v>11727.36</v>
      </c>
      <c r="R149" s="51">
        <f t="shared" si="42"/>
        <v>11613.56</v>
      </c>
      <c r="S149" s="51">
        <f t="shared" si="42"/>
        <v>25653.360000000001</v>
      </c>
      <c r="T149" s="51"/>
      <c r="U149" s="51">
        <f t="shared" si="38"/>
        <v>188128.15</v>
      </c>
      <c r="V149" s="51">
        <f>ROUND(V72+V76+V124+V148,5)</f>
        <v>255150</v>
      </c>
      <c r="W149" s="51">
        <f>ROUND(W72+W76+W124+W148,5)</f>
        <v>270500</v>
      </c>
      <c r="AB149" s="86"/>
      <c r="AC149" s="86"/>
      <c r="AD149" s="86"/>
      <c r="AE149" s="86" t="s">
        <v>177</v>
      </c>
      <c r="AF149" s="86"/>
      <c r="AG149" s="86"/>
      <c r="AH149" s="87"/>
      <c r="AI149" s="87"/>
      <c r="AJ149" s="87"/>
      <c r="AK149" s="87"/>
      <c r="AL149" s="87">
        <f t="shared" ref="AL149:AW149" si="43">ROUND(AL72+AL76+AL124+AL148,5)</f>
        <v>11309.88</v>
      </c>
      <c r="AM149" s="87">
        <f t="shared" si="43"/>
        <v>16749.12</v>
      </c>
      <c r="AN149" s="87">
        <f t="shared" si="43"/>
        <v>12622.71</v>
      </c>
      <c r="AO149" s="87">
        <f t="shared" si="43"/>
        <v>11103.24</v>
      </c>
      <c r="AP149" s="87">
        <f t="shared" si="43"/>
        <v>11446.41</v>
      </c>
      <c r="AQ149" s="87">
        <f t="shared" si="43"/>
        <v>10453.459999999999</v>
      </c>
      <c r="AR149" s="87">
        <f t="shared" si="43"/>
        <v>11012.23</v>
      </c>
      <c r="AS149" s="87">
        <f t="shared" si="43"/>
        <v>6587.86</v>
      </c>
      <c r="AT149" s="87">
        <f t="shared" si="43"/>
        <v>12475.07</v>
      </c>
      <c r="AU149" s="87">
        <f t="shared" si="43"/>
        <v>10928.87</v>
      </c>
      <c r="AV149" s="87">
        <f t="shared" si="43"/>
        <v>12329.12</v>
      </c>
      <c r="AW149" s="87">
        <f t="shared" si="43"/>
        <v>11692.02</v>
      </c>
      <c r="AX149" s="87"/>
      <c r="AY149" s="88">
        <f t="shared" si="39"/>
        <v>138709.99</v>
      </c>
      <c r="AZ149" s="88">
        <f>ROUND(AZ72+AZ76+AZ124+AZ148,5)</f>
        <v>248400</v>
      </c>
      <c r="BA149" s="88">
        <f>ROUND(BA72+BA76+BA124+BA148,5)</f>
        <v>255150</v>
      </c>
      <c r="BB149" s="89"/>
    </row>
    <row r="150" spans="1:56" x14ac:dyDescent="0.3">
      <c r="A150" s="50"/>
      <c r="B150" s="50"/>
      <c r="C150" s="50"/>
      <c r="D150" s="50"/>
      <c r="E150" s="50" t="s">
        <v>177</v>
      </c>
      <c r="F150" s="50"/>
      <c r="G150" s="50"/>
      <c r="H150" s="51"/>
      <c r="I150" s="51"/>
      <c r="J150" s="51"/>
      <c r="K150" s="51"/>
      <c r="L150" s="51"/>
      <c r="M150" s="51"/>
      <c r="N150" s="51"/>
      <c r="O150" s="51"/>
      <c r="P150" s="51"/>
      <c r="Q150" s="51"/>
      <c r="R150" s="51"/>
      <c r="S150" s="51"/>
      <c r="T150" s="51"/>
      <c r="U150" s="51"/>
      <c r="V150" s="51"/>
      <c r="W150" s="51"/>
      <c r="AB150" s="86"/>
      <c r="AC150" s="86"/>
      <c r="AD150" s="86"/>
      <c r="AE150" s="86"/>
      <c r="AF150" s="86"/>
      <c r="AG150" s="86"/>
      <c r="AH150" s="87"/>
      <c r="AI150" s="87"/>
      <c r="AJ150" s="87"/>
      <c r="AK150" s="87"/>
      <c r="AL150" s="87"/>
      <c r="AM150" s="87"/>
      <c r="AN150" s="87"/>
      <c r="AO150" s="87"/>
      <c r="AP150" s="87"/>
      <c r="AQ150" s="87"/>
      <c r="AR150" s="87"/>
      <c r="AS150" s="87"/>
      <c r="AT150" s="87"/>
      <c r="AU150" s="87"/>
      <c r="AV150" s="87"/>
      <c r="AW150" s="87"/>
      <c r="AX150" s="87"/>
      <c r="AY150" s="88"/>
      <c r="AZ150" s="88"/>
      <c r="BA150" s="88"/>
      <c r="BB150" s="89"/>
    </row>
    <row r="151" spans="1:56" x14ac:dyDescent="0.3">
      <c r="A151" s="50"/>
      <c r="B151" s="50"/>
      <c r="C151" s="50"/>
      <c r="D151" s="50"/>
      <c r="E151" s="50"/>
      <c r="F151" s="50" t="s">
        <v>178</v>
      </c>
      <c r="G151" s="50"/>
      <c r="H151" s="51"/>
      <c r="I151" s="51"/>
      <c r="J151" s="51"/>
      <c r="K151" s="51"/>
      <c r="L151" s="51"/>
      <c r="M151" s="51"/>
      <c r="N151" s="51"/>
      <c r="O151" s="51"/>
      <c r="P151" s="51"/>
      <c r="Q151" s="51"/>
      <c r="R151" s="51"/>
      <c r="S151" s="51"/>
      <c r="T151" s="51"/>
      <c r="U151" s="51"/>
      <c r="V151" s="51"/>
      <c r="W151" s="51"/>
      <c r="AB151" s="86"/>
      <c r="AC151" s="86"/>
      <c r="AD151" s="86"/>
      <c r="AE151" s="86"/>
      <c r="AF151" s="86" t="s">
        <v>178</v>
      </c>
      <c r="AG151" s="86"/>
      <c r="AH151" s="87"/>
      <c r="AI151" s="87"/>
      <c r="AJ151" s="87"/>
      <c r="AK151" s="87"/>
      <c r="AL151" s="87"/>
      <c r="AM151" s="87"/>
      <c r="AN151" s="87"/>
      <c r="AO151" s="87"/>
      <c r="AP151" s="87"/>
      <c r="AQ151" s="87"/>
      <c r="AR151" s="87"/>
      <c r="AS151" s="87"/>
      <c r="AT151" s="87"/>
      <c r="AU151" s="87"/>
      <c r="AV151" s="87"/>
      <c r="AW151" s="87"/>
      <c r="AX151" s="87"/>
      <c r="AY151" s="88"/>
      <c r="AZ151" s="88"/>
      <c r="BA151" s="88"/>
      <c r="BB151" s="89"/>
    </row>
    <row r="152" spans="1:56" ht="22.2" thickBot="1" x14ac:dyDescent="0.35">
      <c r="A152" s="50"/>
      <c r="B152" s="50"/>
      <c r="C152" s="50"/>
      <c r="D152" s="50"/>
      <c r="E152" s="50"/>
      <c r="F152" s="50"/>
      <c r="G152" s="50" t="s">
        <v>179</v>
      </c>
      <c r="H152" s="52">
        <v>0</v>
      </c>
      <c r="I152" s="52">
        <v>0</v>
      </c>
      <c r="J152" s="52">
        <v>0</v>
      </c>
      <c r="K152" s="52">
        <v>0</v>
      </c>
      <c r="L152" s="52">
        <v>0</v>
      </c>
      <c r="M152" s="52">
        <v>0</v>
      </c>
      <c r="N152" s="52">
        <v>0</v>
      </c>
      <c r="O152" s="52">
        <v>0</v>
      </c>
      <c r="P152" s="52">
        <v>0</v>
      </c>
      <c r="Q152" s="52">
        <v>0</v>
      </c>
      <c r="R152" s="52">
        <v>0</v>
      </c>
      <c r="S152" s="52">
        <v>48942.34</v>
      </c>
      <c r="T152" s="52"/>
      <c r="U152" s="52">
        <f>ROUND(SUM(H152:T152),5)</f>
        <v>48942.34</v>
      </c>
      <c r="V152" s="52">
        <v>0</v>
      </c>
      <c r="W152" s="52">
        <v>0</v>
      </c>
      <c r="X152" s="68" t="s">
        <v>205</v>
      </c>
      <c r="AB152" s="86"/>
      <c r="AC152" s="86"/>
      <c r="AD152" s="86"/>
      <c r="AE152" s="86"/>
      <c r="AF152" s="86"/>
      <c r="AG152" s="86" t="s">
        <v>179</v>
      </c>
      <c r="AH152" s="90"/>
      <c r="AI152" s="90"/>
      <c r="AJ152" s="90"/>
      <c r="AK152" s="90"/>
      <c r="AL152" s="90">
        <v>0</v>
      </c>
      <c r="AM152" s="90">
        <v>0</v>
      </c>
      <c r="AN152" s="90">
        <v>0</v>
      </c>
      <c r="AO152" s="90">
        <v>0</v>
      </c>
      <c r="AP152" s="90">
        <v>0</v>
      </c>
      <c r="AQ152" s="90">
        <v>0</v>
      </c>
      <c r="AR152" s="90">
        <v>0</v>
      </c>
      <c r="AS152" s="90">
        <v>0</v>
      </c>
      <c r="AT152" s="90">
        <v>0</v>
      </c>
      <c r="AU152" s="90">
        <v>0</v>
      </c>
      <c r="AV152" s="90">
        <v>0</v>
      </c>
      <c r="AW152" s="90">
        <v>50812.91</v>
      </c>
      <c r="AX152" s="90"/>
      <c r="AY152" s="91">
        <f>ROUND(SUM(AH152:AX152),5)</f>
        <v>50812.91</v>
      </c>
      <c r="AZ152" s="91">
        <v>0</v>
      </c>
      <c r="BA152" s="91">
        <v>0</v>
      </c>
      <c r="BB152" s="92" t="s">
        <v>205</v>
      </c>
    </row>
    <row r="153" spans="1:56" x14ac:dyDescent="0.3">
      <c r="A153" s="50"/>
      <c r="B153" s="50"/>
      <c r="C153" s="50"/>
      <c r="D153" s="50"/>
      <c r="E153" s="50"/>
      <c r="F153" s="50" t="s">
        <v>180</v>
      </c>
      <c r="G153" s="50"/>
      <c r="H153" s="51">
        <f t="shared" ref="H153:P153" si="44">ROUND(SUM(H151:H152),5)</f>
        <v>0</v>
      </c>
      <c r="I153" s="51">
        <f t="shared" si="44"/>
        <v>0</v>
      </c>
      <c r="J153" s="51">
        <f t="shared" si="44"/>
        <v>0</v>
      </c>
      <c r="K153" s="51">
        <f t="shared" si="44"/>
        <v>0</v>
      </c>
      <c r="L153" s="51">
        <f t="shared" si="44"/>
        <v>0</v>
      </c>
      <c r="M153" s="51">
        <f t="shared" si="44"/>
        <v>0</v>
      </c>
      <c r="N153" s="51">
        <f t="shared" si="44"/>
        <v>0</v>
      </c>
      <c r="O153" s="51">
        <f t="shared" si="44"/>
        <v>0</v>
      </c>
      <c r="P153" s="51">
        <f t="shared" si="44"/>
        <v>0</v>
      </c>
      <c r="Q153" s="51">
        <f>ROUND(SUM(Q151:Q152),5)</f>
        <v>0</v>
      </c>
      <c r="R153" s="51">
        <f>ROUND(SUM(R151:R152),5)</f>
        <v>0</v>
      </c>
      <c r="S153" s="51">
        <f>ROUND(SUM(S151:S152),5)</f>
        <v>48942.34</v>
      </c>
      <c r="T153" s="51"/>
      <c r="U153" s="51">
        <f>ROUND(SUM(H153:T153),5)</f>
        <v>48942.34</v>
      </c>
      <c r="V153" s="51">
        <f>ROUND(SUM(V151:V152),5)</f>
        <v>0</v>
      </c>
      <c r="W153" s="51">
        <f>ROUND(SUM(W151:W152),5)</f>
        <v>0</v>
      </c>
      <c r="AB153" s="86"/>
      <c r="AC153" s="86"/>
      <c r="AD153" s="86"/>
      <c r="AE153" s="86"/>
      <c r="AF153" s="86" t="s">
        <v>180</v>
      </c>
      <c r="AG153" s="86"/>
      <c r="AH153" s="87"/>
      <c r="AI153" s="87"/>
      <c r="AJ153" s="87"/>
      <c r="AK153" s="87"/>
      <c r="AL153" s="87">
        <f t="shared" ref="AL153:AW153" si="45">ROUND(SUM(AL151:AL152),5)</f>
        <v>0</v>
      </c>
      <c r="AM153" s="87">
        <f t="shared" si="45"/>
        <v>0</v>
      </c>
      <c r="AN153" s="87">
        <f t="shared" si="45"/>
        <v>0</v>
      </c>
      <c r="AO153" s="87">
        <f t="shared" si="45"/>
        <v>0</v>
      </c>
      <c r="AP153" s="87">
        <f t="shared" si="45"/>
        <v>0</v>
      </c>
      <c r="AQ153" s="87">
        <f t="shared" si="45"/>
        <v>0</v>
      </c>
      <c r="AR153" s="87">
        <f t="shared" si="45"/>
        <v>0</v>
      </c>
      <c r="AS153" s="87">
        <f t="shared" si="45"/>
        <v>0</v>
      </c>
      <c r="AT153" s="87">
        <f t="shared" si="45"/>
        <v>0</v>
      </c>
      <c r="AU153" s="87">
        <f t="shared" si="45"/>
        <v>0</v>
      </c>
      <c r="AV153" s="87">
        <f t="shared" si="45"/>
        <v>0</v>
      </c>
      <c r="AW153" s="87">
        <f t="shared" si="45"/>
        <v>50812.91</v>
      </c>
      <c r="AX153" s="87"/>
      <c r="AY153" s="88">
        <f>ROUND(SUM(AH153:AX153),5)</f>
        <v>50812.91</v>
      </c>
      <c r="AZ153" s="88">
        <f>ROUND(SUM(AZ151:AZ152),5)</f>
        <v>0</v>
      </c>
      <c r="BA153" s="88">
        <f>ROUND(SUM(BA151:BA152),5)</f>
        <v>0</v>
      </c>
      <c r="BB153" s="89"/>
    </row>
    <row r="154" spans="1:56" ht="15" thickBot="1" x14ac:dyDescent="0.35">
      <c r="A154" s="50"/>
      <c r="B154" s="50"/>
      <c r="C154" s="50"/>
      <c r="D154" s="50"/>
      <c r="E154" s="50"/>
      <c r="F154" s="50" t="s">
        <v>181</v>
      </c>
      <c r="G154" s="50"/>
      <c r="H154" s="52">
        <v>342.65</v>
      </c>
      <c r="I154" s="52">
        <v>153.12</v>
      </c>
      <c r="J154" s="52">
        <v>0</v>
      </c>
      <c r="K154" s="52">
        <v>299.86</v>
      </c>
      <c r="L154" s="52">
        <v>306.24</v>
      </c>
      <c r="M154" s="52">
        <v>542.07000000000005</v>
      </c>
      <c r="N154" s="52">
        <v>-96.88</v>
      </c>
      <c r="O154" s="52">
        <v>0</v>
      </c>
      <c r="P154" s="52">
        <v>243.32</v>
      </c>
      <c r="Q154" s="52">
        <v>606.1</v>
      </c>
      <c r="R154" s="52">
        <v>-5</v>
      </c>
      <c r="S154" s="52">
        <v>400</v>
      </c>
      <c r="T154" s="52"/>
      <c r="U154" s="52">
        <f>ROUND(SUM(H154:T154),5)</f>
        <v>2791.48</v>
      </c>
      <c r="V154" s="52">
        <v>4000</v>
      </c>
      <c r="W154" s="52">
        <v>4000</v>
      </c>
      <c r="AA154" s="56"/>
      <c r="AB154" s="86"/>
      <c r="AC154" s="86"/>
      <c r="AD154" s="86"/>
      <c r="AE154" s="86" t="s">
        <v>182</v>
      </c>
      <c r="AF154" s="86" t="s">
        <v>181</v>
      </c>
      <c r="AG154" s="86"/>
      <c r="AH154" s="90"/>
      <c r="AI154" s="90"/>
      <c r="AJ154" s="90"/>
      <c r="AK154" s="90"/>
      <c r="AL154" s="90">
        <v>298.70999999999998</v>
      </c>
      <c r="AM154" s="90">
        <v>172.26</v>
      </c>
      <c r="AN154" s="90">
        <v>191.39</v>
      </c>
      <c r="AO154" s="90">
        <v>0</v>
      </c>
      <c r="AP154" s="90">
        <v>0</v>
      </c>
      <c r="AQ154" s="90">
        <v>689.18</v>
      </c>
      <c r="AR154" s="90">
        <v>484.71</v>
      </c>
      <c r="AS154" s="90">
        <v>0</v>
      </c>
      <c r="AT154" s="90">
        <v>357.28</v>
      </c>
      <c r="AU154" s="90">
        <v>185.02</v>
      </c>
      <c r="AV154" s="90">
        <v>241.33</v>
      </c>
      <c r="AW154" s="90">
        <v>416.65</v>
      </c>
      <c r="AX154" s="90"/>
      <c r="AY154" s="91">
        <f>ROUND(SUM(AH154:AX154),5)</f>
        <v>3036.53</v>
      </c>
      <c r="AZ154" s="91">
        <v>4000</v>
      </c>
      <c r="BA154" s="91">
        <v>4000</v>
      </c>
      <c r="BB154" s="92"/>
    </row>
    <row r="155" spans="1:56" x14ac:dyDescent="0.3">
      <c r="A155" s="50"/>
      <c r="B155" s="50"/>
      <c r="C155" s="50"/>
      <c r="D155" s="50"/>
      <c r="E155" s="50" t="s">
        <v>182</v>
      </c>
      <c r="F155" s="50"/>
      <c r="G155" s="50"/>
      <c r="H155" s="51">
        <f t="shared" ref="H155:P155" si="46">ROUND(H150+SUM(H153:H154),5)</f>
        <v>342.65</v>
      </c>
      <c r="I155" s="51">
        <f t="shared" si="46"/>
        <v>153.12</v>
      </c>
      <c r="J155" s="51">
        <f t="shared" si="46"/>
        <v>0</v>
      </c>
      <c r="K155" s="51">
        <f t="shared" si="46"/>
        <v>299.86</v>
      </c>
      <c r="L155" s="51">
        <f t="shared" si="46"/>
        <v>306.24</v>
      </c>
      <c r="M155" s="51">
        <f t="shared" si="46"/>
        <v>542.07000000000005</v>
      </c>
      <c r="N155" s="51">
        <f t="shared" si="46"/>
        <v>-96.88</v>
      </c>
      <c r="O155" s="51">
        <f t="shared" si="46"/>
        <v>0</v>
      </c>
      <c r="P155" s="51">
        <f t="shared" si="46"/>
        <v>243.32</v>
      </c>
      <c r="Q155" s="51">
        <f>ROUND(Q150+SUM(Q153:Q154),5)</f>
        <v>606.1</v>
      </c>
      <c r="R155" s="51">
        <f>ROUND(R150+SUM(R153:R154),5)</f>
        <v>-5</v>
      </c>
      <c r="S155" s="51">
        <f>ROUND(S150+SUM(S153:S154),5)</f>
        <v>49342.34</v>
      </c>
      <c r="T155" s="51"/>
      <c r="U155" s="51">
        <f>ROUND(SUM(H155:T155),5)</f>
        <v>51733.82</v>
      </c>
      <c r="V155" s="51">
        <f>ROUND(V150+SUM(V153:V154),5)</f>
        <v>4000</v>
      </c>
      <c r="W155" s="51">
        <f>ROUND(W150+SUM(W153:W154),5)</f>
        <v>4000</v>
      </c>
      <c r="AB155" s="86"/>
      <c r="AC155" s="86"/>
      <c r="AD155" s="86"/>
      <c r="AE155" s="86" t="s">
        <v>183</v>
      </c>
      <c r="AF155" s="86"/>
      <c r="AG155" s="86"/>
      <c r="AH155" s="87"/>
      <c r="AI155" s="87"/>
      <c r="AJ155" s="87"/>
      <c r="AK155" s="87"/>
      <c r="AL155" s="87">
        <f t="shared" ref="AL155:AW155" si="47">ROUND(AL150+SUM(AL153:AL154),5)</f>
        <v>298.70999999999998</v>
      </c>
      <c r="AM155" s="87">
        <f t="shared" si="47"/>
        <v>172.26</v>
      </c>
      <c r="AN155" s="87">
        <f t="shared" si="47"/>
        <v>191.39</v>
      </c>
      <c r="AO155" s="87">
        <f t="shared" si="47"/>
        <v>0</v>
      </c>
      <c r="AP155" s="87">
        <f t="shared" si="47"/>
        <v>0</v>
      </c>
      <c r="AQ155" s="87">
        <f t="shared" si="47"/>
        <v>689.18</v>
      </c>
      <c r="AR155" s="87">
        <f t="shared" si="47"/>
        <v>484.71</v>
      </c>
      <c r="AS155" s="87">
        <f t="shared" si="47"/>
        <v>0</v>
      </c>
      <c r="AT155" s="87">
        <f t="shared" si="47"/>
        <v>357.28</v>
      </c>
      <c r="AU155" s="87">
        <f t="shared" si="47"/>
        <v>185.02</v>
      </c>
      <c r="AV155" s="87">
        <f t="shared" si="47"/>
        <v>241.33</v>
      </c>
      <c r="AW155" s="87">
        <f t="shared" si="47"/>
        <v>51229.56</v>
      </c>
      <c r="AX155" s="87"/>
      <c r="AY155" s="88">
        <f>ROUND(SUM(AH155:AX155),5)</f>
        <v>53849.440000000002</v>
      </c>
      <c r="AZ155" s="88">
        <f>ROUND(AZ150+SUM(AZ153:AZ154),5)</f>
        <v>4000</v>
      </c>
      <c r="BA155" s="88">
        <f>ROUND(BA150+SUM(BA153:BA154),5)</f>
        <v>4000</v>
      </c>
      <c r="BB155" s="89"/>
      <c r="BC155" s="56"/>
    </row>
    <row r="156" spans="1:56" x14ac:dyDescent="0.3">
      <c r="A156" s="50"/>
      <c r="B156" s="50"/>
      <c r="C156" s="50"/>
      <c r="D156" s="50"/>
      <c r="E156" s="50" t="s">
        <v>183</v>
      </c>
      <c r="F156" s="50"/>
      <c r="G156" s="50"/>
      <c r="H156" s="51"/>
      <c r="I156" s="51"/>
      <c r="J156" s="51"/>
      <c r="K156" s="51"/>
      <c r="L156" s="51"/>
      <c r="M156" s="51"/>
      <c r="N156" s="51"/>
      <c r="O156" s="51"/>
      <c r="P156" s="51"/>
      <c r="Q156" s="51"/>
      <c r="R156" s="51"/>
      <c r="S156" s="51"/>
      <c r="T156" s="51"/>
      <c r="U156" s="51"/>
      <c r="V156" s="51"/>
      <c r="W156" s="51"/>
      <c r="AB156" s="86"/>
      <c r="AC156" s="86"/>
      <c r="AD156" s="86"/>
      <c r="AE156" s="86"/>
      <c r="AF156" s="86"/>
      <c r="AG156" s="86"/>
      <c r="AH156" s="87"/>
      <c r="AI156" s="87"/>
      <c r="AJ156" s="87"/>
      <c r="AK156" s="87"/>
      <c r="AL156" s="87"/>
      <c r="AM156" s="87"/>
      <c r="AN156" s="87"/>
      <c r="AO156" s="87"/>
      <c r="AP156" s="87"/>
      <c r="AQ156" s="87"/>
      <c r="AR156" s="87"/>
      <c r="AS156" s="87"/>
      <c r="AT156" s="87"/>
      <c r="AU156" s="87"/>
      <c r="AV156" s="87"/>
      <c r="AW156" s="87"/>
      <c r="AX156" s="87"/>
      <c r="AY156" s="88"/>
      <c r="AZ156" s="88"/>
      <c r="BA156" s="88"/>
      <c r="BB156" s="89"/>
      <c r="BD156" s="56"/>
    </row>
    <row r="157" spans="1:56" x14ac:dyDescent="0.3">
      <c r="A157" s="50"/>
      <c r="B157" s="50"/>
      <c r="C157" s="50"/>
      <c r="D157" s="50"/>
      <c r="E157" s="50"/>
      <c r="F157" s="50" t="s">
        <v>184</v>
      </c>
      <c r="G157" s="50"/>
      <c r="H157" s="51"/>
      <c r="I157" s="51"/>
      <c r="J157" s="51"/>
      <c r="K157" s="51"/>
      <c r="L157" s="51"/>
      <c r="M157" s="51"/>
      <c r="N157" s="51"/>
      <c r="O157" s="51"/>
      <c r="P157" s="51"/>
      <c r="Q157" s="51"/>
      <c r="R157" s="51"/>
      <c r="S157" s="51"/>
      <c r="T157" s="51"/>
      <c r="U157" s="51"/>
      <c r="V157" s="51"/>
      <c r="W157" s="51"/>
      <c r="AB157" s="86"/>
      <c r="AC157" s="86"/>
      <c r="AD157" s="86"/>
      <c r="AE157" s="86"/>
      <c r="AF157" s="86" t="s">
        <v>184</v>
      </c>
      <c r="AG157" s="86"/>
      <c r="AH157" s="87"/>
      <c r="AI157" s="87"/>
      <c r="AJ157" s="87"/>
      <c r="AK157" s="87"/>
      <c r="AL157" s="87"/>
      <c r="AM157" s="87"/>
      <c r="AN157" s="87"/>
      <c r="AO157" s="87"/>
      <c r="AP157" s="87"/>
      <c r="AQ157" s="87"/>
      <c r="AR157" s="87"/>
      <c r="AS157" s="87"/>
      <c r="AT157" s="87"/>
      <c r="AU157" s="87"/>
      <c r="AV157" s="87"/>
      <c r="AW157" s="87"/>
      <c r="AX157" s="87"/>
      <c r="AY157" s="88"/>
      <c r="AZ157" s="88"/>
      <c r="BA157" s="88"/>
      <c r="BB157" s="89"/>
    </row>
    <row r="158" spans="1:56" x14ac:dyDescent="0.3">
      <c r="A158" s="50"/>
      <c r="B158" s="50"/>
      <c r="C158" s="50"/>
      <c r="D158" s="50"/>
      <c r="E158" s="50"/>
      <c r="F158" s="50"/>
      <c r="G158" s="50" t="s">
        <v>201</v>
      </c>
      <c r="H158" s="51">
        <v>0</v>
      </c>
      <c r="I158" s="51">
        <v>0</v>
      </c>
      <c r="J158" s="51">
        <v>0</v>
      </c>
      <c r="K158" s="51">
        <v>0</v>
      </c>
      <c r="L158" s="51">
        <v>0</v>
      </c>
      <c r="M158" s="51">
        <v>0</v>
      </c>
      <c r="N158" s="51">
        <v>0</v>
      </c>
      <c r="O158" s="51">
        <v>0</v>
      </c>
      <c r="P158" s="51">
        <v>0</v>
      </c>
      <c r="Q158" s="51">
        <v>0</v>
      </c>
      <c r="R158" s="51">
        <v>0</v>
      </c>
      <c r="S158" s="51">
        <v>0</v>
      </c>
      <c r="T158" s="51"/>
      <c r="U158" s="51">
        <v>0</v>
      </c>
      <c r="V158" s="67">
        <v>100000</v>
      </c>
      <c r="W158" s="67">
        <v>100000</v>
      </c>
      <c r="AB158" s="86"/>
      <c r="AC158" s="86"/>
      <c r="AD158" s="86"/>
      <c r="AE158" s="86"/>
      <c r="AF158" s="86"/>
      <c r="AG158" s="86" t="s">
        <v>201</v>
      </c>
      <c r="AH158" s="87"/>
      <c r="AI158" s="87"/>
      <c r="AJ158" s="87"/>
      <c r="AK158" s="87"/>
      <c r="AL158" s="87">
        <v>0</v>
      </c>
      <c r="AM158" s="87">
        <v>0</v>
      </c>
      <c r="AN158" s="87">
        <v>0</v>
      </c>
      <c r="AO158" s="87">
        <v>0</v>
      </c>
      <c r="AP158" s="87">
        <v>0</v>
      </c>
      <c r="AQ158" s="87">
        <v>0</v>
      </c>
      <c r="AR158" s="87">
        <v>0</v>
      </c>
      <c r="AS158" s="87">
        <v>0</v>
      </c>
      <c r="AT158" s="87">
        <v>0</v>
      </c>
      <c r="AU158" s="87">
        <v>0</v>
      </c>
      <c r="AV158" s="87">
        <v>0</v>
      </c>
      <c r="AW158" s="87">
        <v>0</v>
      </c>
      <c r="AX158" s="87"/>
      <c r="AY158" s="88">
        <f>ROUND(SUM(AH158:AX158),5)</f>
        <v>0</v>
      </c>
      <c r="AZ158" s="88">
        <v>100000</v>
      </c>
      <c r="BA158" s="88">
        <v>100000</v>
      </c>
      <c r="BB158" s="89"/>
    </row>
    <row r="159" spans="1:56" x14ac:dyDescent="0.3">
      <c r="A159" s="50"/>
      <c r="B159" s="50"/>
      <c r="C159" s="50"/>
      <c r="D159" s="50"/>
      <c r="E159" s="50"/>
      <c r="F159" s="50"/>
      <c r="G159" s="50" t="s">
        <v>202</v>
      </c>
      <c r="H159" s="51">
        <v>0</v>
      </c>
      <c r="I159" s="51">
        <v>0</v>
      </c>
      <c r="J159" s="51">
        <v>0</v>
      </c>
      <c r="K159" s="51">
        <v>0</v>
      </c>
      <c r="L159" s="51">
        <v>0</v>
      </c>
      <c r="M159" s="51">
        <v>0</v>
      </c>
      <c r="N159" s="51">
        <v>0</v>
      </c>
      <c r="O159" s="51">
        <v>1900</v>
      </c>
      <c r="P159" s="51">
        <v>0</v>
      </c>
      <c r="Q159" s="51">
        <v>0</v>
      </c>
      <c r="R159" s="51">
        <v>0</v>
      </c>
      <c r="S159" s="51">
        <v>0</v>
      </c>
      <c r="T159" s="51"/>
      <c r="U159" s="51">
        <f>ROUND(SUM(H159:T159),5)</f>
        <v>1900</v>
      </c>
      <c r="V159" s="67">
        <v>6000</v>
      </c>
      <c r="W159" s="67">
        <v>6000</v>
      </c>
      <c r="AB159" s="86"/>
      <c r="AC159" s="86"/>
      <c r="AD159" s="86"/>
      <c r="AE159" s="86"/>
      <c r="AF159" s="86"/>
      <c r="AG159" s="86" t="s">
        <v>202</v>
      </c>
      <c r="AH159" s="87"/>
      <c r="AI159" s="87"/>
      <c r="AJ159" s="87"/>
      <c r="AK159" s="87"/>
      <c r="AL159" s="87">
        <v>0</v>
      </c>
      <c r="AM159" s="87">
        <v>0</v>
      </c>
      <c r="AN159" s="87">
        <v>0</v>
      </c>
      <c r="AO159" s="87">
        <v>0</v>
      </c>
      <c r="AP159" s="87">
        <v>0</v>
      </c>
      <c r="AQ159" s="87">
        <v>0</v>
      </c>
      <c r="AR159" s="87">
        <v>0</v>
      </c>
      <c r="AS159" s="87">
        <v>0</v>
      </c>
      <c r="AT159" s="87">
        <v>0</v>
      </c>
      <c r="AU159" s="87">
        <v>0</v>
      </c>
      <c r="AV159" s="87">
        <v>0</v>
      </c>
      <c r="AW159" s="87">
        <v>0</v>
      </c>
      <c r="AX159" s="87"/>
      <c r="AY159" s="88">
        <f>ROUND(SUM(AH159:AX159),5)</f>
        <v>0</v>
      </c>
      <c r="AZ159" s="88">
        <v>6000</v>
      </c>
      <c r="BA159" s="88">
        <v>6000</v>
      </c>
      <c r="BB159" s="89"/>
    </row>
    <row r="160" spans="1:56" x14ac:dyDescent="0.3">
      <c r="A160" s="50"/>
      <c r="B160" s="50"/>
      <c r="C160" s="50"/>
      <c r="D160" s="50"/>
      <c r="E160" s="50"/>
      <c r="F160" s="50"/>
      <c r="G160" s="50" t="s">
        <v>185</v>
      </c>
      <c r="H160" s="51">
        <v>0</v>
      </c>
      <c r="I160" s="51">
        <v>0</v>
      </c>
      <c r="J160" s="51">
        <v>0</v>
      </c>
      <c r="K160" s="51">
        <v>0</v>
      </c>
      <c r="L160" s="51">
        <v>0</v>
      </c>
      <c r="M160" s="51">
        <v>0</v>
      </c>
      <c r="N160" s="51">
        <v>0</v>
      </c>
      <c r="O160" s="51">
        <v>0</v>
      </c>
      <c r="P160" s="51">
        <v>0</v>
      </c>
      <c r="Q160" s="51">
        <v>0</v>
      </c>
      <c r="R160" s="51">
        <v>0</v>
      </c>
      <c r="S160" s="51">
        <v>0</v>
      </c>
      <c r="T160" s="51"/>
      <c r="U160" s="51">
        <v>0</v>
      </c>
      <c r="V160" s="67">
        <v>7500</v>
      </c>
      <c r="W160" s="67">
        <v>7500</v>
      </c>
      <c r="AB160" s="86"/>
      <c r="AC160" s="86"/>
      <c r="AD160" s="86"/>
      <c r="AE160" s="86"/>
      <c r="AF160" s="86"/>
      <c r="AG160" s="86" t="s">
        <v>185</v>
      </c>
      <c r="AH160" s="87"/>
      <c r="AI160" s="87"/>
      <c r="AJ160" s="87"/>
      <c r="AK160" s="87"/>
      <c r="AL160" s="87">
        <v>0</v>
      </c>
      <c r="AM160" s="87">
        <v>0</v>
      </c>
      <c r="AN160" s="87">
        <v>0</v>
      </c>
      <c r="AO160" s="87">
        <v>0</v>
      </c>
      <c r="AP160" s="87">
        <v>0</v>
      </c>
      <c r="AQ160" s="87">
        <v>0</v>
      </c>
      <c r="AR160" s="87">
        <v>0</v>
      </c>
      <c r="AS160" s="87">
        <v>0</v>
      </c>
      <c r="AT160" s="87">
        <v>0</v>
      </c>
      <c r="AU160" s="87">
        <v>0</v>
      </c>
      <c r="AV160" s="87">
        <v>0</v>
      </c>
      <c r="AW160" s="87">
        <v>0</v>
      </c>
      <c r="AX160" s="87"/>
      <c r="AY160" s="88">
        <f>ROUND(SUM(AH160:AX160),5)</f>
        <v>0</v>
      </c>
      <c r="AZ160" s="88">
        <v>7500</v>
      </c>
      <c r="BA160" s="88">
        <v>7500</v>
      </c>
      <c r="BB160" s="89"/>
    </row>
    <row r="161" spans="1:56" ht="15" thickBot="1" x14ac:dyDescent="0.35">
      <c r="A161" s="50"/>
      <c r="B161" s="50"/>
      <c r="C161" s="50"/>
      <c r="D161" s="50"/>
      <c r="E161" s="50"/>
      <c r="F161" s="50"/>
      <c r="G161" s="50" t="s">
        <v>239</v>
      </c>
      <c r="H161" s="51">
        <v>0</v>
      </c>
      <c r="I161" s="51">
        <v>0</v>
      </c>
      <c r="J161" s="51">
        <v>0</v>
      </c>
      <c r="K161" s="51">
        <v>0</v>
      </c>
      <c r="L161" s="51">
        <v>0</v>
      </c>
      <c r="M161" s="51">
        <v>0</v>
      </c>
      <c r="N161" s="51">
        <v>0</v>
      </c>
      <c r="O161" s="51">
        <v>0</v>
      </c>
      <c r="P161" s="51">
        <v>0</v>
      </c>
      <c r="Q161" s="51">
        <v>0</v>
      </c>
      <c r="R161" s="51">
        <v>0</v>
      </c>
      <c r="S161" s="51">
        <v>0</v>
      </c>
      <c r="T161" s="51"/>
      <c r="U161" s="51">
        <v>0</v>
      </c>
      <c r="V161" s="67">
        <v>6000</v>
      </c>
      <c r="W161" s="67">
        <v>6000</v>
      </c>
      <c r="AB161" s="86"/>
      <c r="AC161" s="86"/>
      <c r="AD161" s="86"/>
      <c r="AE161" s="86"/>
      <c r="AF161" s="86"/>
      <c r="AG161" s="86" t="s">
        <v>239</v>
      </c>
      <c r="AH161" s="87"/>
      <c r="AI161" s="87"/>
      <c r="AJ161" s="87"/>
      <c r="AK161" s="87"/>
      <c r="AL161" s="87">
        <v>0</v>
      </c>
      <c r="AM161" s="87">
        <v>0</v>
      </c>
      <c r="AN161" s="87">
        <v>0</v>
      </c>
      <c r="AO161" s="87">
        <v>0</v>
      </c>
      <c r="AP161" s="87">
        <v>0</v>
      </c>
      <c r="AQ161" s="87">
        <v>0</v>
      </c>
      <c r="AR161" s="87">
        <v>0</v>
      </c>
      <c r="AS161" s="87">
        <v>0</v>
      </c>
      <c r="AT161" s="87">
        <v>0</v>
      </c>
      <c r="AU161" s="87">
        <v>0</v>
      </c>
      <c r="AV161" s="87">
        <v>0</v>
      </c>
      <c r="AW161" s="87">
        <v>0</v>
      </c>
      <c r="AX161" s="87"/>
      <c r="AY161" s="88">
        <f>ROUND(SUM(AH161:AX161),5)</f>
        <v>0</v>
      </c>
      <c r="AZ161" s="88">
        <v>6000</v>
      </c>
      <c r="BA161" s="88">
        <v>6000</v>
      </c>
      <c r="BB161" s="89"/>
    </row>
    <row r="162" spans="1:56" ht="15" thickBot="1" x14ac:dyDescent="0.35">
      <c r="A162" s="50"/>
      <c r="B162" s="50"/>
      <c r="C162" s="50"/>
      <c r="D162" s="50"/>
      <c r="E162" s="50"/>
      <c r="F162" s="50" t="s">
        <v>186</v>
      </c>
      <c r="G162" s="50"/>
      <c r="H162" s="53">
        <f t="shared" ref="H162:S162" si="48">ROUND(SUM(H157:H159),5)</f>
        <v>0</v>
      </c>
      <c r="I162" s="53">
        <f t="shared" si="48"/>
        <v>0</v>
      </c>
      <c r="J162" s="53">
        <f t="shared" si="48"/>
        <v>0</v>
      </c>
      <c r="K162" s="53">
        <f t="shared" si="48"/>
        <v>0</v>
      </c>
      <c r="L162" s="53">
        <f t="shared" si="48"/>
        <v>0</v>
      </c>
      <c r="M162" s="53">
        <f t="shared" si="48"/>
        <v>0</v>
      </c>
      <c r="N162" s="53">
        <f t="shared" si="48"/>
        <v>0</v>
      </c>
      <c r="O162" s="53">
        <f t="shared" si="48"/>
        <v>1900</v>
      </c>
      <c r="P162" s="53">
        <f t="shared" si="48"/>
        <v>0</v>
      </c>
      <c r="Q162" s="53">
        <f t="shared" si="48"/>
        <v>0</v>
      </c>
      <c r="R162" s="53">
        <f t="shared" si="48"/>
        <v>0</v>
      </c>
      <c r="S162" s="53">
        <f t="shared" si="48"/>
        <v>0</v>
      </c>
      <c r="T162" s="53"/>
      <c r="U162" s="53">
        <f>ROUND(SUM(H162:T162),5)</f>
        <v>1900</v>
      </c>
      <c r="V162" s="53">
        <f>ROUND(SUM(V157:V161),5)</f>
        <v>119500</v>
      </c>
      <c r="W162" s="53">
        <f>ROUND(SUM(W157:W161),5)</f>
        <v>119500</v>
      </c>
      <c r="AB162" s="86"/>
      <c r="AC162" s="86"/>
      <c r="AD162" s="86"/>
      <c r="AE162" s="86"/>
      <c r="AF162" s="86" t="s">
        <v>186</v>
      </c>
      <c r="AG162" s="86"/>
      <c r="AH162" s="93"/>
      <c r="AI162" s="93"/>
      <c r="AJ162" s="93"/>
      <c r="AK162" s="93"/>
      <c r="AL162" s="93">
        <f t="shared" ref="AL162:AW162" si="49">ROUND(SUM(AL157:AL161),5)</f>
        <v>0</v>
      </c>
      <c r="AM162" s="93">
        <f t="shared" si="49"/>
        <v>0</v>
      </c>
      <c r="AN162" s="93">
        <f t="shared" si="49"/>
        <v>0</v>
      </c>
      <c r="AO162" s="93">
        <f t="shared" si="49"/>
        <v>0</v>
      </c>
      <c r="AP162" s="93">
        <f t="shared" si="49"/>
        <v>0</v>
      </c>
      <c r="AQ162" s="93">
        <f t="shared" si="49"/>
        <v>0</v>
      </c>
      <c r="AR162" s="93">
        <f t="shared" si="49"/>
        <v>0</v>
      </c>
      <c r="AS162" s="93">
        <f t="shared" si="49"/>
        <v>0</v>
      </c>
      <c r="AT162" s="93">
        <f t="shared" si="49"/>
        <v>0</v>
      </c>
      <c r="AU162" s="93">
        <f t="shared" si="49"/>
        <v>0</v>
      </c>
      <c r="AV162" s="93">
        <f t="shared" si="49"/>
        <v>0</v>
      </c>
      <c r="AW162" s="93">
        <f t="shared" si="49"/>
        <v>0</v>
      </c>
      <c r="AX162" s="93"/>
      <c r="AY162" s="94">
        <f>ROUND(SUM(AH162:AX162),5)</f>
        <v>0</v>
      </c>
      <c r="AZ162" s="94">
        <f>ROUND(SUM(AZ157:AZ161),5)</f>
        <v>119500</v>
      </c>
      <c r="BA162" s="94">
        <f>ROUND(SUM(BA157:BA161),5)</f>
        <v>119500</v>
      </c>
      <c r="BB162" s="95"/>
    </row>
    <row r="163" spans="1:56" x14ac:dyDescent="0.3">
      <c r="A163" s="50"/>
      <c r="B163" s="50"/>
      <c r="C163" s="50"/>
      <c r="D163" s="50"/>
      <c r="E163" s="50"/>
      <c r="F163" s="50" t="s">
        <v>187</v>
      </c>
      <c r="G163" s="50"/>
      <c r="H163" s="51"/>
      <c r="I163" s="51"/>
      <c r="J163" s="51"/>
      <c r="K163" s="51"/>
      <c r="L163" s="51"/>
      <c r="M163" s="51"/>
      <c r="N163" s="51"/>
      <c r="O163" s="51"/>
      <c r="P163" s="51"/>
      <c r="Q163" s="51"/>
      <c r="R163" s="51"/>
      <c r="S163" s="51"/>
      <c r="T163" s="51"/>
      <c r="U163" s="51"/>
      <c r="V163" s="51"/>
      <c r="W163" s="51"/>
      <c r="AB163" s="86"/>
      <c r="AC163" s="86"/>
      <c r="AD163" s="86"/>
      <c r="AE163" s="86"/>
      <c r="AF163" s="86" t="s">
        <v>187</v>
      </c>
      <c r="AG163" s="86"/>
      <c r="AH163" s="87"/>
      <c r="AI163" s="87"/>
      <c r="AJ163" s="87"/>
      <c r="AK163" s="87"/>
      <c r="AL163" s="87"/>
      <c r="AM163" s="87"/>
      <c r="AN163" s="87"/>
      <c r="AO163" s="87"/>
      <c r="AP163" s="87"/>
      <c r="AQ163" s="87"/>
      <c r="AR163" s="87"/>
      <c r="AS163" s="87"/>
      <c r="AT163" s="87"/>
      <c r="AU163" s="87"/>
      <c r="AV163" s="87"/>
      <c r="AW163" s="87"/>
      <c r="AX163" s="87"/>
      <c r="AY163" s="88"/>
      <c r="AZ163" s="88"/>
      <c r="BA163" s="88"/>
      <c r="BB163" s="89"/>
    </row>
    <row r="164" spans="1:56" ht="15" thickBot="1" x14ac:dyDescent="0.35">
      <c r="A164" s="50"/>
      <c r="B164" s="50"/>
      <c r="C164" s="50"/>
      <c r="D164" s="50"/>
      <c r="E164" s="50"/>
      <c r="F164" s="50"/>
      <c r="G164" s="50" t="s">
        <v>188</v>
      </c>
      <c r="H164" s="52">
        <v>6935</v>
      </c>
      <c r="I164" s="52">
        <v>1357</v>
      </c>
      <c r="J164" s="52">
        <v>0</v>
      </c>
      <c r="K164" s="52">
        <v>0</v>
      </c>
      <c r="L164" s="52">
        <v>0</v>
      </c>
      <c r="M164" s="52">
        <v>0</v>
      </c>
      <c r="N164" s="52">
        <v>0</v>
      </c>
      <c r="O164" s="52">
        <v>0</v>
      </c>
      <c r="P164" s="52">
        <v>355787.84</v>
      </c>
      <c r="Q164" s="52">
        <v>9486.81</v>
      </c>
      <c r="R164" s="52">
        <v>261853.25</v>
      </c>
      <c r="S164" s="52">
        <v>350000</v>
      </c>
      <c r="T164" s="52"/>
      <c r="U164" s="52">
        <f>ROUND(SUM(H164:T164),5)</f>
        <v>985419.9</v>
      </c>
      <c r="V164" s="52">
        <v>150000</v>
      </c>
      <c r="W164" s="114">
        <v>1600000</v>
      </c>
      <c r="X164" s="68" t="s">
        <v>298</v>
      </c>
      <c r="AB164" s="86"/>
      <c r="AC164" s="86"/>
      <c r="AD164" s="86"/>
      <c r="AE164" s="86"/>
      <c r="AF164" s="86"/>
      <c r="AG164" s="86" t="s">
        <v>188</v>
      </c>
      <c r="AH164" s="90"/>
      <c r="AI164" s="90"/>
      <c r="AJ164" s="90"/>
      <c r="AK164" s="90"/>
      <c r="AL164" s="90">
        <v>0</v>
      </c>
      <c r="AM164" s="90">
        <v>0</v>
      </c>
      <c r="AN164" s="90">
        <v>5379.38</v>
      </c>
      <c r="AO164" s="90">
        <v>0</v>
      </c>
      <c r="AP164" s="90">
        <v>0</v>
      </c>
      <c r="AQ164" s="90">
        <v>0</v>
      </c>
      <c r="AR164" s="90">
        <v>0</v>
      </c>
      <c r="AS164" s="90">
        <v>0</v>
      </c>
      <c r="AT164" s="90">
        <v>0</v>
      </c>
      <c r="AU164" s="90">
        <v>0</v>
      </c>
      <c r="AV164" s="90">
        <v>0</v>
      </c>
      <c r="AW164" s="90">
        <v>0</v>
      </c>
      <c r="AX164" s="90"/>
      <c r="AY164" s="91">
        <f>ROUND(SUM(AH164:AX164),5)</f>
        <v>5379.38</v>
      </c>
      <c r="AZ164" s="91">
        <v>150000</v>
      </c>
      <c r="BA164" s="91">
        <v>150000</v>
      </c>
      <c r="BB164" s="92" t="s">
        <v>251</v>
      </c>
    </row>
    <row r="165" spans="1:56" x14ac:dyDescent="0.3">
      <c r="A165" s="50"/>
      <c r="B165" s="50"/>
      <c r="C165" s="50"/>
      <c r="D165" s="50"/>
      <c r="E165" s="50"/>
      <c r="F165" s="50" t="s">
        <v>189</v>
      </c>
      <c r="G165" s="50"/>
      <c r="H165" s="51">
        <f t="shared" ref="H165:P165" si="50">ROUND(SUM(H163:H164),5)</f>
        <v>6935</v>
      </c>
      <c r="I165" s="51">
        <f t="shared" si="50"/>
        <v>1357</v>
      </c>
      <c r="J165" s="51">
        <f t="shared" si="50"/>
        <v>0</v>
      </c>
      <c r="K165" s="51">
        <f t="shared" si="50"/>
        <v>0</v>
      </c>
      <c r="L165" s="51">
        <f t="shared" si="50"/>
        <v>0</v>
      </c>
      <c r="M165" s="51">
        <f t="shared" si="50"/>
        <v>0</v>
      </c>
      <c r="N165" s="51">
        <f t="shared" si="50"/>
        <v>0</v>
      </c>
      <c r="O165" s="51">
        <f t="shared" si="50"/>
        <v>0</v>
      </c>
      <c r="P165" s="51">
        <f t="shared" si="50"/>
        <v>355787.84</v>
      </c>
      <c r="Q165" s="51">
        <f>ROUND(SUM(Q163:Q164),5)</f>
        <v>9486.81</v>
      </c>
      <c r="R165" s="51">
        <f>ROUND(SUM(R163:R164),5)</f>
        <v>261853.25</v>
      </c>
      <c r="S165" s="51">
        <f>ROUND(SUM(S163:S164),5)</f>
        <v>350000</v>
      </c>
      <c r="T165" s="51"/>
      <c r="U165" s="51">
        <f>ROUND(SUM(H165:T165),5)</f>
        <v>985419.9</v>
      </c>
      <c r="V165" s="51">
        <f>ROUND(SUM(V163:V164),5)</f>
        <v>150000</v>
      </c>
      <c r="W165" s="51">
        <f>ROUND(SUM(W163:W164),5)</f>
        <v>1600000</v>
      </c>
      <c r="AB165" s="86"/>
      <c r="AC165" s="86"/>
      <c r="AD165" s="86"/>
      <c r="AE165" s="86"/>
      <c r="AF165" s="86" t="s">
        <v>189</v>
      </c>
      <c r="AG165" s="86"/>
      <c r="AH165" s="87"/>
      <c r="AI165" s="87"/>
      <c r="AJ165" s="87"/>
      <c r="AK165" s="87"/>
      <c r="AL165" s="87">
        <f t="shared" ref="AL165:AW165" si="51">ROUND(SUM(AL163:AL164),5)</f>
        <v>0</v>
      </c>
      <c r="AM165" s="87">
        <f t="shared" si="51"/>
        <v>0</v>
      </c>
      <c r="AN165" s="87">
        <f t="shared" si="51"/>
        <v>5379.38</v>
      </c>
      <c r="AO165" s="87">
        <f t="shared" si="51"/>
        <v>0</v>
      </c>
      <c r="AP165" s="87">
        <f t="shared" si="51"/>
        <v>0</v>
      </c>
      <c r="AQ165" s="87">
        <f t="shared" si="51"/>
        <v>0</v>
      </c>
      <c r="AR165" s="87">
        <f t="shared" si="51"/>
        <v>0</v>
      </c>
      <c r="AS165" s="87">
        <f t="shared" si="51"/>
        <v>0</v>
      </c>
      <c r="AT165" s="87">
        <f t="shared" si="51"/>
        <v>0</v>
      </c>
      <c r="AU165" s="87">
        <f t="shared" si="51"/>
        <v>0</v>
      </c>
      <c r="AV165" s="87">
        <f t="shared" si="51"/>
        <v>0</v>
      </c>
      <c r="AW165" s="87">
        <f t="shared" si="51"/>
        <v>0</v>
      </c>
      <c r="AX165" s="87"/>
      <c r="AY165" s="88">
        <f>ROUND(SUM(AH165:AX165),5)</f>
        <v>5379.38</v>
      </c>
      <c r="AZ165" s="88">
        <f>ROUND(SUM(AZ163:AZ164),5)</f>
        <v>150000</v>
      </c>
      <c r="BA165" s="88">
        <f>ROUND(SUM(BA163:BA164),5)</f>
        <v>150000</v>
      </c>
      <c r="BB165" s="89"/>
    </row>
    <row r="166" spans="1:56" x14ac:dyDescent="0.3">
      <c r="A166" s="50"/>
      <c r="B166" s="50"/>
      <c r="C166" s="50"/>
      <c r="D166" s="50"/>
      <c r="E166" s="50"/>
      <c r="F166" s="50" t="s">
        <v>190</v>
      </c>
      <c r="G166" s="50"/>
      <c r="H166" s="51"/>
      <c r="I166" s="51"/>
      <c r="J166" s="51"/>
      <c r="K166" s="51"/>
      <c r="L166" s="51"/>
      <c r="M166" s="51"/>
      <c r="N166" s="51"/>
      <c r="O166" s="51"/>
      <c r="P166" s="51"/>
      <c r="Q166" s="51"/>
      <c r="R166" s="51"/>
      <c r="S166" s="51"/>
      <c r="T166" s="51"/>
      <c r="U166" s="51"/>
      <c r="V166" s="51"/>
      <c r="W166" s="51"/>
      <c r="AB166" s="86"/>
      <c r="AC166" s="86"/>
      <c r="AD166" s="86"/>
      <c r="AE166" s="86"/>
      <c r="AF166" s="86" t="s">
        <v>190</v>
      </c>
      <c r="AG166" s="86"/>
      <c r="AH166" s="87"/>
      <c r="AI166" s="87"/>
      <c r="AJ166" s="87"/>
      <c r="AK166" s="87"/>
      <c r="AL166" s="87"/>
      <c r="AM166" s="87"/>
      <c r="AN166" s="87"/>
      <c r="AO166" s="87"/>
      <c r="AP166" s="87"/>
      <c r="AQ166" s="87"/>
      <c r="AR166" s="87"/>
      <c r="AS166" s="87"/>
      <c r="AT166" s="87"/>
      <c r="AU166" s="87"/>
      <c r="AV166" s="87"/>
      <c r="AW166" s="87"/>
      <c r="AX166" s="87"/>
      <c r="AY166" s="88"/>
      <c r="AZ166" s="88"/>
      <c r="BA166" s="88"/>
      <c r="BB166" s="89"/>
    </row>
    <row r="167" spans="1:56" x14ac:dyDescent="0.3">
      <c r="A167" s="50"/>
      <c r="B167" s="50"/>
      <c r="C167" s="50"/>
      <c r="D167" s="50"/>
      <c r="E167" s="50"/>
      <c r="F167" s="50"/>
      <c r="G167" s="50" t="s">
        <v>191</v>
      </c>
      <c r="H167" s="51">
        <v>0</v>
      </c>
      <c r="I167" s="51">
        <v>0</v>
      </c>
      <c r="J167" s="51">
        <v>0</v>
      </c>
      <c r="K167" s="51">
        <v>0</v>
      </c>
      <c r="L167" s="51">
        <v>0</v>
      </c>
      <c r="M167" s="51">
        <v>0</v>
      </c>
      <c r="N167" s="51">
        <v>0</v>
      </c>
      <c r="O167" s="51">
        <v>0</v>
      </c>
      <c r="P167" s="51">
        <v>0</v>
      </c>
      <c r="Q167" s="51">
        <v>0</v>
      </c>
      <c r="R167" s="51">
        <v>0</v>
      </c>
      <c r="S167" s="51">
        <v>0</v>
      </c>
      <c r="T167" s="51"/>
      <c r="U167" s="51">
        <v>0</v>
      </c>
      <c r="V167" s="67">
        <v>60000</v>
      </c>
      <c r="W167" s="67">
        <v>60000</v>
      </c>
      <c r="AB167" s="86"/>
      <c r="AC167" s="86"/>
      <c r="AD167" s="86"/>
      <c r="AE167" s="86"/>
      <c r="AF167" s="86"/>
      <c r="AG167" s="86" t="s">
        <v>191</v>
      </c>
      <c r="AH167" s="87"/>
      <c r="AI167" s="87"/>
      <c r="AJ167" s="87"/>
      <c r="AK167" s="87"/>
      <c r="AL167" s="87">
        <v>0</v>
      </c>
      <c r="AM167" s="87">
        <v>0</v>
      </c>
      <c r="AN167" s="87">
        <v>0</v>
      </c>
      <c r="AO167" s="87">
        <v>0</v>
      </c>
      <c r="AP167" s="87">
        <v>0</v>
      </c>
      <c r="AQ167" s="87">
        <v>0</v>
      </c>
      <c r="AR167" s="87">
        <v>0</v>
      </c>
      <c r="AS167" s="87">
        <v>0</v>
      </c>
      <c r="AT167" s="87">
        <v>9137.67</v>
      </c>
      <c r="AU167" s="87">
        <v>0</v>
      </c>
      <c r="AV167" s="87">
        <v>0</v>
      </c>
      <c r="AW167" s="87">
        <v>0</v>
      </c>
      <c r="AX167" s="87"/>
      <c r="AY167" s="88">
        <f>ROUND(SUM(AH167:AX167),5)</f>
        <v>9137.67</v>
      </c>
      <c r="AZ167" s="88">
        <v>75000</v>
      </c>
      <c r="BA167" s="88">
        <v>60000</v>
      </c>
      <c r="BB167" s="89"/>
    </row>
    <row r="168" spans="1:56" x14ac:dyDescent="0.3">
      <c r="A168" s="50"/>
      <c r="B168" s="50"/>
      <c r="C168" s="50"/>
      <c r="D168" s="50"/>
      <c r="E168" s="50"/>
      <c r="F168" s="50"/>
      <c r="G168" s="50" t="s">
        <v>192</v>
      </c>
      <c r="H168" s="51">
        <v>0</v>
      </c>
      <c r="I168" s="51">
        <v>0</v>
      </c>
      <c r="J168" s="51">
        <v>0</v>
      </c>
      <c r="K168" s="51">
        <v>0</v>
      </c>
      <c r="L168" s="51">
        <v>0</v>
      </c>
      <c r="M168" s="51">
        <v>0</v>
      </c>
      <c r="N168" s="51">
        <v>0</v>
      </c>
      <c r="O168" s="51">
        <v>0</v>
      </c>
      <c r="P168" s="51">
        <v>0</v>
      </c>
      <c r="Q168" s="51">
        <v>0</v>
      </c>
      <c r="R168" s="51">
        <v>0</v>
      </c>
      <c r="S168" s="51">
        <v>0</v>
      </c>
      <c r="T168" s="51"/>
      <c r="U168" s="51">
        <v>0</v>
      </c>
      <c r="V168" s="67">
        <v>17000</v>
      </c>
      <c r="W168" s="67">
        <v>17000</v>
      </c>
      <c r="AB168" s="86"/>
      <c r="AC168" s="86"/>
      <c r="AD168" s="86"/>
      <c r="AE168" s="86"/>
      <c r="AF168" s="86"/>
      <c r="AG168" s="86" t="s">
        <v>192</v>
      </c>
      <c r="AH168" s="87"/>
      <c r="AI168" s="87"/>
      <c r="AJ168" s="87"/>
      <c r="AK168" s="87"/>
      <c r="AL168" s="87">
        <v>0</v>
      </c>
      <c r="AM168" s="87">
        <v>0</v>
      </c>
      <c r="AN168" s="87">
        <v>0</v>
      </c>
      <c r="AO168" s="87">
        <v>0</v>
      </c>
      <c r="AP168" s="87">
        <v>0</v>
      </c>
      <c r="AQ168" s="87">
        <v>0</v>
      </c>
      <c r="AR168" s="87">
        <v>0</v>
      </c>
      <c r="AS168" s="87">
        <v>2082.06</v>
      </c>
      <c r="AT168" s="87">
        <v>0</v>
      </c>
      <c r="AU168" s="87">
        <v>0</v>
      </c>
      <c r="AV168" s="87">
        <v>0</v>
      </c>
      <c r="AW168" s="87">
        <v>0</v>
      </c>
      <c r="AX168" s="87"/>
      <c r="AY168" s="88">
        <f>ROUND(SUM(AH168:AX168),5)</f>
        <v>2082.06</v>
      </c>
      <c r="AZ168" s="88">
        <v>17000</v>
      </c>
      <c r="BA168" s="88">
        <v>17000</v>
      </c>
      <c r="BB168" s="89"/>
    </row>
    <row r="169" spans="1:56" ht="22.2" thickBot="1" x14ac:dyDescent="0.35">
      <c r="A169" s="50"/>
      <c r="B169" s="50"/>
      <c r="C169" s="50"/>
      <c r="D169" s="50"/>
      <c r="E169" s="50"/>
      <c r="F169" s="50"/>
      <c r="G169" s="50" t="s">
        <v>193</v>
      </c>
      <c r="H169" s="52">
        <v>0</v>
      </c>
      <c r="I169" s="52">
        <v>1945</v>
      </c>
      <c r="J169" s="52">
        <v>0</v>
      </c>
      <c r="K169" s="52">
        <v>0</v>
      </c>
      <c r="L169" s="52">
        <v>0</v>
      </c>
      <c r="M169" s="52">
        <v>0</v>
      </c>
      <c r="N169" s="52">
        <v>0</v>
      </c>
      <c r="O169" s="52">
        <v>0</v>
      </c>
      <c r="P169" s="52">
        <v>0</v>
      </c>
      <c r="Q169" s="52">
        <v>0</v>
      </c>
      <c r="R169" s="52">
        <v>0</v>
      </c>
      <c r="S169" s="52">
        <v>0</v>
      </c>
      <c r="T169" s="52"/>
      <c r="U169" s="52">
        <f>ROUND(SUM(H169:T169),5)</f>
        <v>1945</v>
      </c>
      <c r="V169" s="52">
        <v>5000</v>
      </c>
      <c r="W169" s="52">
        <v>6000</v>
      </c>
      <c r="X169" s="68" t="s">
        <v>253</v>
      </c>
      <c r="AA169" s="56"/>
      <c r="AB169" s="86"/>
      <c r="AC169" s="86"/>
      <c r="AD169" s="86"/>
      <c r="AE169" s="86"/>
      <c r="AF169" s="86"/>
      <c r="AG169" s="86" t="s">
        <v>193</v>
      </c>
      <c r="AH169" s="90"/>
      <c r="AI169" s="90"/>
      <c r="AJ169" s="90"/>
      <c r="AK169" s="90"/>
      <c r="AL169" s="90">
        <v>0</v>
      </c>
      <c r="AM169" s="90">
        <v>1945</v>
      </c>
      <c r="AN169" s="90">
        <v>0</v>
      </c>
      <c r="AO169" s="90">
        <v>0</v>
      </c>
      <c r="AP169" s="90">
        <v>0</v>
      </c>
      <c r="AQ169" s="90">
        <v>0</v>
      </c>
      <c r="AR169" s="90">
        <v>0</v>
      </c>
      <c r="AS169" s="90">
        <v>0</v>
      </c>
      <c r="AT169" s="90">
        <v>0</v>
      </c>
      <c r="AU169" s="90">
        <v>0</v>
      </c>
      <c r="AV169" s="90">
        <v>0</v>
      </c>
      <c r="AW169" s="90">
        <v>0</v>
      </c>
      <c r="AX169" s="90"/>
      <c r="AY169" s="91">
        <f>ROUND(SUM(AH169:AX169),5)</f>
        <v>1945</v>
      </c>
      <c r="AZ169" s="91">
        <v>5000</v>
      </c>
      <c r="BA169" s="91">
        <v>5000</v>
      </c>
      <c r="BB169" s="92" t="s">
        <v>253</v>
      </c>
    </row>
    <row r="170" spans="1:56" ht="15" thickBot="1" x14ac:dyDescent="0.35">
      <c r="A170" s="50"/>
      <c r="B170" s="50"/>
      <c r="C170" s="50"/>
      <c r="D170" s="50"/>
      <c r="E170" s="50"/>
      <c r="F170" s="50" t="s">
        <v>194</v>
      </c>
      <c r="G170" s="50"/>
      <c r="H170" s="52">
        <f t="shared" ref="H170:S170" si="52">ROUND(SUM(H166:H169),5)</f>
        <v>0</v>
      </c>
      <c r="I170" s="52">
        <f t="shared" si="52"/>
        <v>1945</v>
      </c>
      <c r="J170" s="52">
        <f t="shared" si="52"/>
        <v>0</v>
      </c>
      <c r="K170" s="52">
        <f t="shared" si="52"/>
        <v>0</v>
      </c>
      <c r="L170" s="52">
        <f t="shared" si="52"/>
        <v>0</v>
      </c>
      <c r="M170" s="52">
        <f t="shared" si="52"/>
        <v>0</v>
      </c>
      <c r="N170" s="52">
        <f t="shared" si="52"/>
        <v>0</v>
      </c>
      <c r="O170" s="52">
        <f t="shared" si="52"/>
        <v>0</v>
      </c>
      <c r="P170" s="52">
        <f t="shared" si="52"/>
        <v>0</v>
      </c>
      <c r="Q170" s="52">
        <f t="shared" si="52"/>
        <v>0</v>
      </c>
      <c r="R170" s="52">
        <f t="shared" si="52"/>
        <v>0</v>
      </c>
      <c r="S170" s="52">
        <f t="shared" si="52"/>
        <v>0</v>
      </c>
      <c r="T170" s="52"/>
      <c r="U170" s="52">
        <f>ROUND(SUM(H170:T170),5)</f>
        <v>1945</v>
      </c>
      <c r="V170" s="52">
        <f>ROUND(SUM(V166:V169),5)</f>
        <v>82000</v>
      </c>
      <c r="W170" s="114">
        <f>ROUND(SUM(W166:W169),5)</f>
        <v>83000</v>
      </c>
      <c r="AB170" s="86"/>
      <c r="AC170" s="86"/>
      <c r="AD170" s="86"/>
      <c r="AE170" s="86" t="s">
        <v>195</v>
      </c>
      <c r="AF170" s="86" t="s">
        <v>194</v>
      </c>
      <c r="AG170" s="86"/>
      <c r="AH170" s="90"/>
      <c r="AI170" s="90"/>
      <c r="AJ170" s="90"/>
      <c r="AK170" s="90"/>
      <c r="AL170" s="90">
        <f t="shared" ref="AL170:AW170" si="53">ROUND(SUM(AL166:AL169),5)</f>
        <v>0</v>
      </c>
      <c r="AM170" s="90">
        <f t="shared" si="53"/>
        <v>1945</v>
      </c>
      <c r="AN170" s="90">
        <f t="shared" si="53"/>
        <v>0</v>
      </c>
      <c r="AO170" s="90">
        <f t="shared" si="53"/>
        <v>0</v>
      </c>
      <c r="AP170" s="90">
        <f t="shared" si="53"/>
        <v>0</v>
      </c>
      <c r="AQ170" s="90">
        <f t="shared" si="53"/>
        <v>0</v>
      </c>
      <c r="AR170" s="90">
        <f t="shared" si="53"/>
        <v>0</v>
      </c>
      <c r="AS170" s="90">
        <f t="shared" si="53"/>
        <v>2082.06</v>
      </c>
      <c r="AT170" s="90">
        <f t="shared" si="53"/>
        <v>9137.67</v>
      </c>
      <c r="AU170" s="90">
        <f t="shared" si="53"/>
        <v>0</v>
      </c>
      <c r="AV170" s="90">
        <f t="shared" si="53"/>
        <v>0</v>
      </c>
      <c r="AW170" s="90">
        <f t="shared" si="53"/>
        <v>0</v>
      </c>
      <c r="AX170" s="90"/>
      <c r="AY170" s="91">
        <f>ROUND(SUM(AH170:AX170),5)</f>
        <v>13164.73</v>
      </c>
      <c r="AZ170" s="91">
        <f>ROUND(SUM(AZ166:AZ169),5)</f>
        <v>97000</v>
      </c>
      <c r="BA170" s="91">
        <f>ROUND(SUM(BA166:BA169),5)</f>
        <v>82000</v>
      </c>
      <c r="BB170" s="92"/>
    </row>
    <row r="171" spans="1:56" ht="15" thickBot="1" x14ac:dyDescent="0.35">
      <c r="A171" s="50"/>
      <c r="B171" s="50"/>
      <c r="C171" s="50"/>
      <c r="D171" s="50"/>
      <c r="E171" s="50" t="s">
        <v>195</v>
      </c>
      <c r="F171" s="50"/>
      <c r="G171" s="50"/>
      <c r="H171" s="54">
        <f t="shared" ref="H171:S171" si="54">ROUND(H156+H162+H165+H170,5)</f>
        <v>6935</v>
      </c>
      <c r="I171" s="54">
        <f t="shared" si="54"/>
        <v>3302</v>
      </c>
      <c r="J171" s="54">
        <f t="shared" si="54"/>
        <v>0</v>
      </c>
      <c r="K171" s="54">
        <f t="shared" si="54"/>
        <v>0</v>
      </c>
      <c r="L171" s="54">
        <f t="shared" si="54"/>
        <v>0</v>
      </c>
      <c r="M171" s="54">
        <f t="shared" si="54"/>
        <v>0</v>
      </c>
      <c r="N171" s="54">
        <f t="shared" si="54"/>
        <v>0</v>
      </c>
      <c r="O171" s="54">
        <f t="shared" si="54"/>
        <v>1900</v>
      </c>
      <c r="P171" s="54">
        <f t="shared" si="54"/>
        <v>355787.84</v>
      </c>
      <c r="Q171" s="54">
        <f t="shared" si="54"/>
        <v>9486.81</v>
      </c>
      <c r="R171" s="54">
        <f t="shared" si="54"/>
        <v>261853.25</v>
      </c>
      <c r="S171" s="54">
        <f t="shared" si="54"/>
        <v>350000</v>
      </c>
      <c r="T171" s="54"/>
      <c r="U171" s="54">
        <f>ROUND(SUM(H171:T171),5)</f>
        <v>989264.9</v>
      </c>
      <c r="V171" s="54">
        <f>ROUND(V156+V162+V165+V170,5)</f>
        <v>351500</v>
      </c>
      <c r="W171" s="54">
        <f>ROUND(W156+W162+W165+W170,5)</f>
        <v>1802500</v>
      </c>
      <c r="AB171" s="86"/>
      <c r="AC171" s="86"/>
      <c r="AD171" s="86"/>
      <c r="AE171" s="86"/>
      <c r="AF171" s="86"/>
      <c r="AG171" s="86"/>
      <c r="AH171" s="87"/>
      <c r="AI171" s="87"/>
      <c r="AJ171" s="87"/>
      <c r="AK171" s="87"/>
      <c r="AL171" s="99">
        <f t="shared" ref="AL171:AW171" si="55">ROUND(AL156+AL162+AL165+AL170,5)</f>
        <v>0</v>
      </c>
      <c r="AM171" s="99">
        <f t="shared" si="55"/>
        <v>1945</v>
      </c>
      <c r="AN171" s="99">
        <f t="shared" si="55"/>
        <v>5379.38</v>
      </c>
      <c r="AO171" s="99">
        <f t="shared" si="55"/>
        <v>0</v>
      </c>
      <c r="AP171" s="99">
        <f t="shared" si="55"/>
        <v>0</v>
      </c>
      <c r="AQ171" s="99">
        <f t="shared" si="55"/>
        <v>0</v>
      </c>
      <c r="AR171" s="99">
        <f t="shared" si="55"/>
        <v>0</v>
      </c>
      <c r="AS171" s="99">
        <f t="shared" si="55"/>
        <v>2082.06</v>
      </c>
      <c r="AT171" s="99">
        <f t="shared" si="55"/>
        <v>9137.67</v>
      </c>
      <c r="AU171" s="99">
        <f t="shared" si="55"/>
        <v>0</v>
      </c>
      <c r="AV171" s="99">
        <f t="shared" si="55"/>
        <v>0</v>
      </c>
      <c r="AW171" s="99">
        <f t="shared" si="55"/>
        <v>0</v>
      </c>
      <c r="AX171" s="99"/>
      <c r="AY171" s="100">
        <f>ROUND(SUM(AH171:AX171),5)</f>
        <v>18544.11</v>
      </c>
      <c r="AZ171" s="100">
        <f>ROUND(AZ156+AZ162+AZ165+AZ170,5)</f>
        <v>366500</v>
      </c>
      <c r="BA171" s="100">
        <f>ROUND(BA156+BA162+BA165+BA170,5)</f>
        <v>351500</v>
      </c>
      <c r="BB171" s="101"/>
    </row>
    <row r="172" spans="1:56" s="56" customFormat="1" ht="22.2" thickBot="1" x14ac:dyDescent="0.35">
      <c r="A172" s="50"/>
      <c r="B172" s="50"/>
      <c r="C172" s="50"/>
      <c r="D172" s="50"/>
      <c r="E172" s="50" t="s">
        <v>203</v>
      </c>
      <c r="F172" s="50"/>
      <c r="G172" s="50"/>
      <c r="H172" s="54"/>
      <c r="I172" s="54"/>
      <c r="J172" s="54"/>
      <c r="K172" s="54"/>
      <c r="L172" s="54"/>
      <c r="M172" s="54"/>
      <c r="N172" s="54"/>
      <c r="O172" s="54"/>
      <c r="P172" s="54"/>
      <c r="Q172" s="54"/>
      <c r="R172" s="54"/>
      <c r="S172" s="54"/>
      <c r="T172" s="54"/>
      <c r="U172" s="54">
        <v>0</v>
      </c>
      <c r="V172" s="54">
        <v>226000</v>
      </c>
      <c r="W172" s="54">
        <f>W24+W20</f>
        <v>145100</v>
      </c>
      <c r="X172" s="68" t="s">
        <v>209</v>
      </c>
      <c r="Y172"/>
      <c r="Z172"/>
      <c r="AA172"/>
      <c r="AB172" s="86"/>
      <c r="AC172" s="86"/>
      <c r="AD172" s="86"/>
      <c r="AE172" s="86"/>
      <c r="AF172" s="86"/>
      <c r="AG172" s="86"/>
      <c r="AH172" s="87"/>
      <c r="AI172" s="87"/>
      <c r="AJ172" s="87"/>
      <c r="AK172" s="87"/>
      <c r="AL172" s="99"/>
      <c r="AM172" s="99"/>
      <c r="AN172" s="99"/>
      <c r="AO172" s="99"/>
      <c r="AP172" s="99"/>
      <c r="AQ172" s="99"/>
      <c r="AR172" s="99"/>
      <c r="AS172" s="99"/>
      <c r="AT172" s="99"/>
      <c r="AU172" s="99"/>
      <c r="AV172" s="99"/>
      <c r="AW172" s="99"/>
      <c r="AX172" s="99"/>
      <c r="AY172" s="86"/>
      <c r="AZ172" s="86"/>
      <c r="BA172" s="86"/>
      <c r="BB172" s="86"/>
      <c r="BC172"/>
      <c r="BD172"/>
    </row>
    <row r="173" spans="1:56" s="56" customFormat="1" ht="15" thickBot="1" x14ac:dyDescent="0.35">
      <c r="A173" s="50"/>
      <c r="B173" s="50"/>
      <c r="C173" s="50"/>
      <c r="D173" s="50"/>
      <c r="E173" s="50" t="s">
        <v>299</v>
      </c>
      <c r="F173" s="50"/>
      <c r="G173" s="50"/>
      <c r="H173" s="54"/>
      <c r="I173" s="54"/>
      <c r="J173" s="54"/>
      <c r="K173" s="54"/>
      <c r="L173" s="54"/>
      <c r="M173" s="54"/>
      <c r="N173" s="54"/>
      <c r="O173" s="54"/>
      <c r="P173" s="54"/>
      <c r="Q173" s="54"/>
      <c r="R173" s="54"/>
      <c r="S173" s="54"/>
      <c r="T173" s="54"/>
      <c r="U173" s="54">
        <v>0</v>
      </c>
      <c r="V173" s="54">
        <v>0</v>
      </c>
      <c r="W173" s="54">
        <v>-1802500</v>
      </c>
      <c r="X173" s="68" t="s">
        <v>300</v>
      </c>
      <c r="Y173"/>
      <c r="Z173"/>
      <c r="AA173"/>
      <c r="AB173" s="86"/>
      <c r="AC173" s="86"/>
      <c r="AD173" s="86"/>
      <c r="AE173" s="86"/>
      <c r="AF173" s="86"/>
      <c r="AG173" s="86"/>
      <c r="AH173" s="87"/>
      <c r="AI173" s="87"/>
      <c r="AJ173" s="87"/>
      <c r="AK173" s="87"/>
      <c r="AL173" s="99"/>
      <c r="AM173" s="99"/>
      <c r="AN173" s="99"/>
      <c r="AO173" s="99"/>
      <c r="AP173" s="99"/>
      <c r="AQ173" s="99"/>
      <c r="AR173" s="99"/>
      <c r="AS173" s="99"/>
      <c r="AT173" s="99"/>
      <c r="AU173" s="99"/>
      <c r="AV173" s="99"/>
      <c r="AW173" s="99"/>
      <c r="AX173" s="99"/>
      <c r="AY173" s="86"/>
      <c r="AZ173" s="86"/>
      <c r="BA173" s="86"/>
      <c r="BB173" s="86"/>
      <c r="BC173"/>
      <c r="BD173"/>
    </row>
    <row r="174" spans="1:56" ht="22.2" thickBot="1" x14ac:dyDescent="0.35">
      <c r="A174" s="50"/>
      <c r="B174" s="50"/>
      <c r="C174" s="50"/>
      <c r="D174" s="50"/>
      <c r="E174" s="50" t="s">
        <v>204</v>
      </c>
      <c r="F174" s="50"/>
      <c r="G174" s="50"/>
      <c r="H174" s="54"/>
      <c r="I174" s="54"/>
      <c r="J174" s="54"/>
      <c r="K174" s="54"/>
      <c r="L174" s="54"/>
      <c r="M174" s="54"/>
      <c r="N174" s="54"/>
      <c r="O174" s="54"/>
      <c r="P174" s="54"/>
      <c r="Q174" s="54"/>
      <c r="R174" s="54"/>
      <c r="S174" s="54"/>
      <c r="T174" s="54"/>
      <c r="U174" s="54">
        <v>0</v>
      </c>
      <c r="V174" s="54">
        <v>245659</v>
      </c>
      <c r="W174" s="116">
        <f>245659-1760259+26050</f>
        <v>-1488550</v>
      </c>
      <c r="X174" s="68" t="s">
        <v>301</v>
      </c>
      <c r="Y174" s="56"/>
      <c r="Z174" s="56"/>
      <c r="AB174" s="86"/>
      <c r="AC174" s="86"/>
      <c r="AD174" s="86"/>
      <c r="AE174" s="86"/>
      <c r="AF174" s="86"/>
      <c r="AG174" s="86"/>
      <c r="AH174" s="87"/>
      <c r="AI174" s="87"/>
      <c r="AJ174" s="87"/>
      <c r="AK174" s="87"/>
      <c r="AL174" s="99"/>
      <c r="AM174" s="99"/>
      <c r="AN174" s="99"/>
      <c r="AO174" s="99"/>
      <c r="AP174" s="99"/>
      <c r="AQ174" s="99"/>
      <c r="AR174" s="99"/>
      <c r="AS174" s="99"/>
      <c r="AT174" s="99"/>
      <c r="AU174" s="99"/>
      <c r="AV174" s="99"/>
      <c r="AW174" s="99"/>
      <c r="AX174" s="99"/>
      <c r="AY174" s="86"/>
      <c r="AZ174" s="86"/>
      <c r="BA174" s="86"/>
      <c r="BB174" s="86"/>
    </row>
    <row r="175" spans="1:56" ht="15" thickBot="1" x14ac:dyDescent="0.35">
      <c r="A175" s="50"/>
      <c r="B175" s="50"/>
      <c r="C175" s="50"/>
      <c r="D175" s="50" t="s">
        <v>5</v>
      </c>
      <c r="E175" s="50"/>
      <c r="F175" s="50"/>
      <c r="G175" s="50"/>
      <c r="H175" s="53">
        <f t="shared" ref="H175:S175" si="56">ROUND(H40+H71+H149+H155+H171,5)</f>
        <v>40629.21</v>
      </c>
      <c r="I175" s="53">
        <f t="shared" si="56"/>
        <v>42211.89</v>
      </c>
      <c r="J175" s="53">
        <f t="shared" si="56"/>
        <v>35255.99</v>
      </c>
      <c r="K175" s="53">
        <f t="shared" si="56"/>
        <v>58915.23</v>
      </c>
      <c r="L175" s="53">
        <f t="shared" si="56"/>
        <v>38223.08</v>
      </c>
      <c r="M175" s="53">
        <f t="shared" si="56"/>
        <v>55599.54</v>
      </c>
      <c r="N175" s="53">
        <f t="shared" si="56"/>
        <v>57824.7</v>
      </c>
      <c r="O175" s="53">
        <f t="shared" si="56"/>
        <v>44586.239999999998</v>
      </c>
      <c r="P175" s="53">
        <f t="shared" si="56"/>
        <v>393348.6</v>
      </c>
      <c r="Q175" s="53">
        <f t="shared" si="56"/>
        <v>58195.67</v>
      </c>
      <c r="R175" s="53">
        <f t="shared" si="56"/>
        <v>299439.25</v>
      </c>
      <c r="S175" s="53">
        <f t="shared" si="56"/>
        <v>455414.61</v>
      </c>
      <c r="T175" s="53"/>
      <c r="U175" s="53">
        <f>ROUND(SUM(H175:T175),5)</f>
        <v>1579644.01</v>
      </c>
      <c r="V175" s="53">
        <f>ROUND(V40+V71+V149+V155+V171,5)+V172+V174</f>
        <v>1552500</v>
      </c>
      <c r="W175" s="53">
        <f>ROUND(W40+W71+W149+W155+W171,5)+W172+W174</f>
        <v>1189000</v>
      </c>
      <c r="AB175" s="86"/>
      <c r="AC175" s="86"/>
      <c r="AD175" s="86"/>
      <c r="AE175" s="86"/>
      <c r="AF175" s="86"/>
      <c r="AG175" s="86"/>
      <c r="AH175" s="87"/>
      <c r="AI175" s="87"/>
      <c r="AJ175" s="87"/>
      <c r="AK175" s="87"/>
      <c r="AL175" s="99"/>
      <c r="AM175" s="99"/>
      <c r="AN175" s="99"/>
      <c r="AO175" s="99"/>
      <c r="AP175" s="99"/>
      <c r="AQ175" s="99"/>
      <c r="AR175" s="99"/>
      <c r="AS175" s="99"/>
      <c r="AT175" s="99"/>
      <c r="AU175" s="99"/>
      <c r="AV175" s="99"/>
      <c r="AW175" s="99"/>
      <c r="AX175" s="99"/>
      <c r="AY175" s="86"/>
      <c r="AZ175" s="86"/>
      <c r="BA175" s="86"/>
      <c r="BB175" s="86"/>
    </row>
    <row r="176" spans="1:56" x14ac:dyDescent="0.3">
      <c r="A176" s="50"/>
      <c r="B176" s="50" t="s">
        <v>6</v>
      </c>
      <c r="C176" s="50"/>
      <c r="D176" s="50"/>
      <c r="E176" s="50"/>
      <c r="F176" s="50"/>
      <c r="G176" s="50"/>
      <c r="H176" s="51">
        <f t="shared" ref="H176:S176" si="57">ROUND(H2+H39-H175,5)</f>
        <v>20645.93</v>
      </c>
      <c r="I176" s="51">
        <f t="shared" si="57"/>
        <v>-21134.85</v>
      </c>
      <c r="J176" s="51">
        <f t="shared" si="57"/>
        <v>51003.360000000001</v>
      </c>
      <c r="K176" s="51">
        <f t="shared" si="57"/>
        <v>26647.89</v>
      </c>
      <c r="L176" s="51">
        <f t="shared" si="57"/>
        <v>-11791.18</v>
      </c>
      <c r="M176" s="51">
        <f t="shared" si="57"/>
        <v>242069.91</v>
      </c>
      <c r="N176" s="51">
        <f t="shared" si="57"/>
        <v>160957.59</v>
      </c>
      <c r="O176" s="51">
        <f t="shared" si="57"/>
        <v>15114.64</v>
      </c>
      <c r="P176" s="51">
        <f t="shared" si="57"/>
        <v>-318923.76</v>
      </c>
      <c r="Q176" s="51">
        <f t="shared" si="57"/>
        <v>46415.09</v>
      </c>
      <c r="R176" s="51">
        <f t="shared" si="57"/>
        <v>-23874.639999999999</v>
      </c>
      <c r="S176" s="51">
        <f t="shared" si="57"/>
        <v>-411762.25</v>
      </c>
      <c r="T176" s="51"/>
      <c r="U176" s="51">
        <f>ROUND(SUM(H176:T176),5)</f>
        <v>-224632.27</v>
      </c>
      <c r="V176" s="51">
        <f>ROUND(V2+V39-V175,5)</f>
        <v>-351500</v>
      </c>
      <c r="W176" s="51">
        <f>ROUND(W2+W39-W175,5)</f>
        <v>0</v>
      </c>
      <c r="AB176" s="86"/>
      <c r="AC176" s="86"/>
      <c r="AD176" s="86"/>
      <c r="AE176" s="86" t="s">
        <v>203</v>
      </c>
      <c r="AF176" s="86"/>
      <c r="AG176" s="86"/>
      <c r="AH176" s="87"/>
      <c r="AI176" s="87"/>
      <c r="AJ176" s="87"/>
      <c r="AK176" s="87"/>
      <c r="AL176" s="99"/>
      <c r="AM176" s="99"/>
      <c r="AN176" s="99"/>
      <c r="AO176" s="99"/>
      <c r="AP176" s="99"/>
      <c r="AQ176" s="99"/>
      <c r="AR176" s="99"/>
      <c r="AS176" s="99"/>
      <c r="AT176" s="99"/>
      <c r="AU176" s="99"/>
      <c r="AV176" s="99"/>
      <c r="AW176" s="99"/>
      <c r="AX176" s="99"/>
      <c r="AY176" s="86"/>
      <c r="AZ176" s="86"/>
      <c r="BA176" s="86"/>
      <c r="BB176" s="86"/>
    </row>
    <row r="177" spans="1:54" ht="17.399999999999999" customHeight="1" thickBot="1" x14ac:dyDescent="0.35">
      <c r="A177" s="50"/>
      <c r="B177" s="50" t="s">
        <v>7</v>
      </c>
      <c r="C177" s="50"/>
      <c r="D177" s="50"/>
      <c r="E177" s="50"/>
      <c r="F177" s="50"/>
      <c r="G177" s="50"/>
      <c r="H177" s="51"/>
      <c r="I177" s="51"/>
      <c r="J177" s="51"/>
      <c r="K177" s="51"/>
      <c r="L177" s="51"/>
      <c r="M177" s="51"/>
      <c r="N177" s="51"/>
      <c r="O177" s="51"/>
      <c r="P177" s="51"/>
      <c r="Q177" s="51"/>
      <c r="R177" s="51"/>
      <c r="S177" s="51"/>
      <c r="T177" s="51"/>
      <c r="U177" s="51"/>
      <c r="V177" s="51"/>
      <c r="W177" s="51"/>
      <c r="AB177" s="86"/>
      <c r="AC177" s="86"/>
      <c r="AD177" s="86"/>
      <c r="AE177" s="86" t="s">
        <v>204</v>
      </c>
      <c r="AF177" s="86"/>
      <c r="AG177" s="86"/>
      <c r="AH177" s="87"/>
      <c r="AI177" s="87"/>
      <c r="AJ177" s="87"/>
      <c r="AK177" s="87"/>
      <c r="AL177" s="102">
        <v>0</v>
      </c>
      <c r="AM177" s="102">
        <v>0</v>
      </c>
      <c r="AN177" s="102">
        <v>0</v>
      </c>
      <c r="AO177" s="102">
        <v>0</v>
      </c>
      <c r="AP177" s="102">
        <v>0</v>
      </c>
      <c r="AQ177" s="102">
        <v>0</v>
      </c>
      <c r="AR177" s="102">
        <v>0</v>
      </c>
      <c r="AS177" s="102">
        <v>0</v>
      </c>
      <c r="AT177" s="102">
        <v>0</v>
      </c>
      <c r="AU177" s="102">
        <v>0</v>
      </c>
      <c r="AV177" s="102">
        <v>0</v>
      </c>
      <c r="AW177" s="102">
        <v>0</v>
      </c>
      <c r="AX177" s="102"/>
      <c r="AY177" s="103">
        <v>0</v>
      </c>
      <c r="AZ177" s="103">
        <v>177000</v>
      </c>
      <c r="BA177" s="103">
        <f>BA17+BA18+BA24+BA20</f>
        <v>226000</v>
      </c>
      <c r="BB177" s="104" t="s">
        <v>209</v>
      </c>
    </row>
    <row r="178" spans="1:54" ht="25.8" customHeight="1" thickBot="1" x14ac:dyDescent="0.35">
      <c r="A178" s="50"/>
      <c r="B178" s="50"/>
      <c r="C178" s="50" t="s">
        <v>8</v>
      </c>
      <c r="D178" s="50"/>
      <c r="E178" s="50"/>
      <c r="F178" s="50"/>
      <c r="G178" s="50"/>
      <c r="H178" s="51"/>
      <c r="I178" s="51"/>
      <c r="J178" s="51"/>
      <c r="K178" s="51"/>
      <c r="L178" s="51"/>
      <c r="M178" s="51"/>
      <c r="N178" s="51"/>
      <c r="O178" s="51"/>
      <c r="P178" s="51"/>
      <c r="Q178" s="51"/>
      <c r="R178" s="51"/>
      <c r="S178" s="51"/>
      <c r="T178" s="51"/>
      <c r="U178" s="51"/>
      <c r="V178" s="51"/>
      <c r="W178" s="51"/>
      <c r="AB178" s="86"/>
      <c r="AC178" s="86"/>
      <c r="AD178" s="86" t="s">
        <v>5</v>
      </c>
      <c r="AE178" s="86"/>
      <c r="AF178" s="86"/>
      <c r="AG178" s="86"/>
      <c r="AH178" s="87"/>
      <c r="AI178" s="87"/>
      <c r="AJ178" s="87"/>
      <c r="AK178" s="87"/>
      <c r="AL178" s="87">
        <v>0</v>
      </c>
      <c r="AM178" s="87">
        <v>0</v>
      </c>
      <c r="AN178" s="87">
        <v>0</v>
      </c>
      <c r="AO178" s="87">
        <v>0</v>
      </c>
      <c r="AP178" s="87">
        <v>0</v>
      </c>
      <c r="AQ178" s="87">
        <v>0</v>
      </c>
      <c r="AR178" s="87">
        <v>0</v>
      </c>
      <c r="AS178" s="87">
        <v>0</v>
      </c>
      <c r="AT178" s="87">
        <v>0</v>
      </c>
      <c r="AU178" s="87">
        <v>0</v>
      </c>
      <c r="AV178" s="87">
        <v>0</v>
      </c>
      <c r="AW178" s="87">
        <v>0</v>
      </c>
      <c r="AX178" s="87"/>
      <c r="AY178" s="88">
        <v>0</v>
      </c>
      <c r="AZ178" s="88">
        <v>236020</v>
      </c>
      <c r="BA178" s="88">
        <v>245659</v>
      </c>
      <c r="BB178" s="89" t="s">
        <v>259</v>
      </c>
    </row>
    <row r="179" spans="1:54" ht="14.4" customHeight="1" thickBot="1" x14ac:dyDescent="0.35">
      <c r="A179" s="50"/>
      <c r="B179" s="50"/>
      <c r="C179" s="50"/>
      <c r="D179" s="50" t="s">
        <v>196</v>
      </c>
      <c r="E179" s="50"/>
      <c r="F179" s="50"/>
      <c r="G179" s="50"/>
      <c r="H179" s="51">
        <v>488.69</v>
      </c>
      <c r="I179" s="51">
        <v>0</v>
      </c>
      <c r="J179" s="51">
        <v>0</v>
      </c>
      <c r="K179" s="51">
        <v>0</v>
      </c>
      <c r="L179" s="51">
        <v>0</v>
      </c>
      <c r="M179" s="51">
        <v>0</v>
      </c>
      <c r="N179" s="51">
        <v>1206.2</v>
      </c>
      <c r="O179" s="51">
        <v>0</v>
      </c>
      <c r="P179" s="51">
        <v>0</v>
      </c>
      <c r="Q179" s="51">
        <v>0</v>
      </c>
      <c r="R179" s="51">
        <v>0</v>
      </c>
      <c r="S179" s="51">
        <v>0</v>
      </c>
      <c r="T179" s="51"/>
      <c r="U179" s="51">
        <f t="shared" ref="U179:U184" si="58">ROUND(SUM(H179:T179),5)</f>
        <v>1694.89</v>
      </c>
      <c r="V179" s="51">
        <v>0</v>
      </c>
      <c r="W179" s="51">
        <v>0</v>
      </c>
      <c r="X179" s="68" t="s">
        <v>206</v>
      </c>
      <c r="AB179" s="86" t="s">
        <v>6</v>
      </c>
      <c r="AC179" s="86"/>
      <c r="AD179" s="86"/>
      <c r="AE179" s="86"/>
      <c r="AF179" s="86"/>
      <c r="AG179" s="86"/>
      <c r="AH179" s="93"/>
      <c r="AI179" s="93"/>
      <c r="AJ179" s="93"/>
      <c r="AK179" s="93"/>
      <c r="AL179" s="93">
        <f t="shared" ref="AL179:BA179" si="59">ROUND(AL40+AL71+AL149+AL155+AL171,5)+AL177+AL178</f>
        <v>27999</v>
      </c>
      <c r="AM179" s="93">
        <f t="shared" si="59"/>
        <v>43641.53</v>
      </c>
      <c r="AN179" s="93">
        <f t="shared" si="59"/>
        <v>40907.26</v>
      </c>
      <c r="AO179" s="93">
        <f t="shared" si="59"/>
        <v>48192.54</v>
      </c>
      <c r="AP179" s="93">
        <f t="shared" si="59"/>
        <v>32728.26</v>
      </c>
      <c r="AQ179" s="93">
        <f t="shared" si="59"/>
        <v>36866.379999999997</v>
      </c>
      <c r="AR179" s="93">
        <f t="shared" si="59"/>
        <v>44453.31</v>
      </c>
      <c r="AS179" s="93">
        <f t="shared" si="59"/>
        <v>32567.72</v>
      </c>
      <c r="AT179" s="93">
        <f t="shared" si="59"/>
        <v>48013.1</v>
      </c>
      <c r="AU179" s="93">
        <f t="shared" si="59"/>
        <v>52967.27</v>
      </c>
      <c r="AV179" s="93">
        <f t="shared" si="59"/>
        <v>50116.65</v>
      </c>
      <c r="AW179" s="93">
        <f t="shared" si="59"/>
        <v>98258.22</v>
      </c>
      <c r="AX179" s="93">
        <f t="shared" si="59"/>
        <v>0</v>
      </c>
      <c r="AY179" s="94">
        <f t="shared" si="59"/>
        <v>556711.24</v>
      </c>
      <c r="AZ179" s="94">
        <f t="shared" si="59"/>
        <v>1445300</v>
      </c>
      <c r="BA179" s="94">
        <f t="shared" si="59"/>
        <v>1552500</v>
      </c>
      <c r="BB179" s="95"/>
    </row>
    <row r="180" spans="1:54" ht="15.6" customHeight="1" x14ac:dyDescent="0.3">
      <c r="A180" s="50"/>
      <c r="B180" s="50"/>
      <c r="C180" s="50"/>
      <c r="D180" s="50" t="s">
        <v>197</v>
      </c>
      <c r="E180" s="50"/>
      <c r="F180" s="50"/>
      <c r="G180" s="50"/>
      <c r="H180" s="51">
        <v>3838.17</v>
      </c>
      <c r="I180" s="51">
        <v>-7360.71</v>
      </c>
      <c r="J180" s="51">
        <v>-12262.78</v>
      </c>
      <c r="K180" s="51">
        <v>-15312.76</v>
      </c>
      <c r="L180" s="51">
        <v>-7089.43</v>
      </c>
      <c r="M180" s="51">
        <v>-12210.57</v>
      </c>
      <c r="N180" s="51">
        <v>-30666.5</v>
      </c>
      <c r="O180" s="51">
        <v>-22606.21</v>
      </c>
      <c r="P180" s="51">
        <v>-54477.599999999999</v>
      </c>
      <c r="Q180" s="51">
        <v>-43909.78</v>
      </c>
      <c r="R180" s="51">
        <v>9284.9</v>
      </c>
      <c r="S180" s="51">
        <v>-10762.94</v>
      </c>
      <c r="T180" s="51"/>
      <c r="U180" s="51">
        <f t="shared" si="58"/>
        <v>-203536.21</v>
      </c>
      <c r="V180" s="51">
        <v>0</v>
      </c>
      <c r="W180" s="51">
        <v>0</v>
      </c>
      <c r="X180" s="68" t="s">
        <v>206</v>
      </c>
      <c r="AB180" s="86" t="s">
        <v>7</v>
      </c>
      <c r="AC180" s="86"/>
      <c r="AD180" s="86"/>
      <c r="AE180" s="86"/>
      <c r="AF180" s="86"/>
      <c r="AG180" s="86"/>
      <c r="AH180" s="87"/>
      <c r="AI180" s="87"/>
      <c r="AJ180" s="87"/>
      <c r="AK180" s="87"/>
      <c r="AL180" s="87">
        <f t="shared" ref="AL180:AW180" si="60">ROUND(AL2+AL39-AL179,5)</f>
        <v>-8841.0400000000009</v>
      </c>
      <c r="AM180" s="87">
        <f t="shared" si="60"/>
        <v>-10879.27</v>
      </c>
      <c r="AN180" s="87">
        <f t="shared" si="60"/>
        <v>-2325.44</v>
      </c>
      <c r="AO180" s="87">
        <f t="shared" si="60"/>
        <v>43497.59</v>
      </c>
      <c r="AP180" s="87">
        <f t="shared" si="60"/>
        <v>-13444.18</v>
      </c>
      <c r="AQ180" s="87">
        <f t="shared" si="60"/>
        <v>210923.04</v>
      </c>
      <c r="AR180" s="87">
        <f t="shared" si="60"/>
        <v>211891.47</v>
      </c>
      <c r="AS180" s="87">
        <f t="shared" si="60"/>
        <v>26678.65</v>
      </c>
      <c r="AT180" s="87">
        <f t="shared" si="60"/>
        <v>17447.71</v>
      </c>
      <c r="AU180" s="87">
        <f t="shared" si="60"/>
        <v>44297.38</v>
      </c>
      <c r="AV180" s="87">
        <f t="shared" si="60"/>
        <v>172821.62</v>
      </c>
      <c r="AW180" s="87">
        <f t="shared" si="60"/>
        <v>16430.13</v>
      </c>
      <c r="AX180" s="87"/>
      <c r="AY180" s="88">
        <f>ROUND(SUM(AH180:AX180),5)</f>
        <v>708497.66</v>
      </c>
      <c r="AZ180" s="88">
        <f>ROUND(AZ2+AZ39-AZ179,5)</f>
        <v>-366500</v>
      </c>
      <c r="BA180" s="88">
        <f>ROUND(BA2+BA39-BA179,5)</f>
        <v>-351500</v>
      </c>
      <c r="BB180" s="89"/>
    </row>
    <row r="181" spans="1:54" ht="13.2" customHeight="1" thickBot="1" x14ac:dyDescent="0.35">
      <c r="A181" s="50"/>
      <c r="B181" s="50"/>
      <c r="C181" s="50"/>
      <c r="D181" s="50" t="s">
        <v>280</v>
      </c>
      <c r="E181" s="50"/>
      <c r="F181" s="50"/>
      <c r="G181" s="50"/>
      <c r="H181" s="51">
        <v>0</v>
      </c>
      <c r="I181" s="51">
        <v>0</v>
      </c>
      <c r="J181" s="51">
        <v>0</v>
      </c>
      <c r="K181" s="51">
        <v>0</v>
      </c>
      <c r="L181" s="51">
        <v>0</v>
      </c>
      <c r="M181" s="51">
        <v>0</v>
      </c>
      <c r="N181" s="51">
        <v>0</v>
      </c>
      <c r="O181" s="51">
        <v>0</v>
      </c>
      <c r="P181" s="51">
        <v>0</v>
      </c>
      <c r="Q181" s="51">
        <v>0</v>
      </c>
      <c r="R181" s="51">
        <v>0</v>
      </c>
      <c r="S181" s="51">
        <v>0</v>
      </c>
      <c r="T181" s="51"/>
      <c r="U181" s="51">
        <f t="shared" si="58"/>
        <v>0</v>
      </c>
      <c r="V181" s="51">
        <v>0</v>
      </c>
      <c r="W181" s="51">
        <v>0</v>
      </c>
      <c r="X181" s="68" t="s">
        <v>206</v>
      </c>
      <c r="AB181" s="86"/>
      <c r="AC181" s="86" t="s">
        <v>8</v>
      </c>
      <c r="AD181" s="86"/>
      <c r="AE181" s="86"/>
      <c r="AF181" s="86"/>
      <c r="AG181" s="86"/>
      <c r="AH181" s="87"/>
      <c r="AI181" s="87"/>
      <c r="AJ181" s="87"/>
      <c r="AK181" s="87"/>
      <c r="AL181" s="87"/>
      <c r="AM181" s="87"/>
      <c r="AN181" s="87"/>
      <c r="AO181" s="87"/>
      <c r="AP181" s="87"/>
      <c r="AQ181" s="87"/>
      <c r="AR181" s="87"/>
      <c r="AS181" s="87"/>
      <c r="AT181" s="87"/>
      <c r="AU181" s="87"/>
      <c r="AV181" s="87"/>
      <c r="AW181" s="87"/>
      <c r="AX181" s="87"/>
      <c r="AY181" s="88"/>
      <c r="AZ181" s="88"/>
      <c r="BA181" s="88"/>
      <c r="BB181" s="89"/>
    </row>
    <row r="182" spans="1:54" ht="15" thickBot="1" x14ac:dyDescent="0.35">
      <c r="A182" s="50"/>
      <c r="B182" s="50"/>
      <c r="C182" s="50" t="s">
        <v>9</v>
      </c>
      <c r="D182" s="50"/>
      <c r="E182" s="50"/>
      <c r="F182" s="50"/>
      <c r="G182" s="50"/>
      <c r="H182" s="54">
        <f t="shared" ref="H182:P182" si="61">ROUND(SUM(H178:H181),5)</f>
        <v>4326.8599999999997</v>
      </c>
      <c r="I182" s="54">
        <f t="shared" si="61"/>
        <v>-7360.71</v>
      </c>
      <c r="J182" s="54">
        <f t="shared" si="61"/>
        <v>-12262.78</v>
      </c>
      <c r="K182" s="54">
        <f t="shared" si="61"/>
        <v>-15312.76</v>
      </c>
      <c r="L182" s="54">
        <f t="shared" si="61"/>
        <v>-7089.43</v>
      </c>
      <c r="M182" s="54">
        <f t="shared" si="61"/>
        <v>-12210.57</v>
      </c>
      <c r="N182" s="54">
        <f t="shared" si="61"/>
        <v>-29460.3</v>
      </c>
      <c r="O182" s="54">
        <f t="shared" si="61"/>
        <v>-22606.21</v>
      </c>
      <c r="P182" s="54">
        <f t="shared" si="61"/>
        <v>-54477.599999999999</v>
      </c>
      <c r="Q182" s="54">
        <f>ROUND(SUM(Q178:Q181),5)</f>
        <v>-43909.78</v>
      </c>
      <c r="R182" s="54">
        <f>ROUND(SUM(R178:R181),5)</f>
        <v>9284.9</v>
      </c>
      <c r="S182" s="54">
        <f>ROUND(SUM(S178:S181),5)</f>
        <v>-10762.94</v>
      </c>
      <c r="T182" s="54"/>
      <c r="U182" s="54">
        <f t="shared" si="58"/>
        <v>-201841.32</v>
      </c>
      <c r="V182" s="54">
        <f>ROUND(SUM(V178:V181),5)</f>
        <v>0</v>
      </c>
      <c r="W182" s="54">
        <f>ROUND(SUM(W178:W181),5)</f>
        <v>0</v>
      </c>
      <c r="AB182" s="86"/>
      <c r="AC182" s="86"/>
      <c r="AD182" s="86" t="s">
        <v>196</v>
      </c>
      <c r="AE182" s="86"/>
      <c r="AF182" s="86"/>
      <c r="AG182" s="86"/>
      <c r="AH182" s="87"/>
      <c r="AI182" s="87"/>
      <c r="AJ182" s="87"/>
      <c r="AK182" s="87"/>
      <c r="AL182" s="87"/>
      <c r="AM182" s="87"/>
      <c r="AN182" s="87"/>
      <c r="AO182" s="87"/>
      <c r="AP182" s="87"/>
      <c r="AQ182" s="87"/>
      <c r="AR182" s="87"/>
      <c r="AS182" s="87"/>
      <c r="AT182" s="87"/>
      <c r="AU182" s="87"/>
      <c r="AV182" s="87"/>
      <c r="AW182" s="87"/>
      <c r="AX182" s="87"/>
      <c r="AY182" s="88"/>
      <c r="AZ182" s="88"/>
      <c r="BA182" s="88"/>
      <c r="BB182" s="89"/>
    </row>
    <row r="183" spans="1:54" ht="22.2" thickBot="1" x14ac:dyDescent="0.35">
      <c r="A183" s="50"/>
      <c r="B183" s="50" t="s">
        <v>10</v>
      </c>
      <c r="C183" s="50"/>
      <c r="D183" s="50"/>
      <c r="E183" s="50"/>
      <c r="F183" s="50"/>
      <c r="G183" s="50"/>
      <c r="H183" s="54">
        <f t="shared" ref="H183:P183" si="62">ROUND(H177+H182,5)</f>
        <v>4326.8599999999997</v>
      </c>
      <c r="I183" s="54">
        <f t="shared" si="62"/>
        <v>-7360.71</v>
      </c>
      <c r="J183" s="54">
        <f t="shared" si="62"/>
        <v>-12262.78</v>
      </c>
      <c r="K183" s="54">
        <f t="shared" si="62"/>
        <v>-15312.76</v>
      </c>
      <c r="L183" s="54">
        <f t="shared" si="62"/>
        <v>-7089.43</v>
      </c>
      <c r="M183" s="54">
        <f t="shared" si="62"/>
        <v>-12210.57</v>
      </c>
      <c r="N183" s="54">
        <f t="shared" si="62"/>
        <v>-29460.3</v>
      </c>
      <c r="O183" s="54">
        <f t="shared" si="62"/>
        <v>-22606.21</v>
      </c>
      <c r="P183" s="54">
        <f t="shared" si="62"/>
        <v>-54477.599999999999</v>
      </c>
      <c r="Q183" s="54">
        <f>ROUND(Q177+Q182,5)</f>
        <v>-43909.78</v>
      </c>
      <c r="R183" s="54">
        <f>ROUND(R177+R182,5)</f>
        <v>9284.9</v>
      </c>
      <c r="S183" s="54">
        <f>ROUND(S177+S182,5)</f>
        <v>-10762.94</v>
      </c>
      <c r="T183" s="54"/>
      <c r="U183" s="54">
        <f t="shared" si="58"/>
        <v>-201841.32</v>
      </c>
      <c r="V183" s="54">
        <f>ROUND(V177+V182,5)</f>
        <v>0</v>
      </c>
      <c r="W183" s="54">
        <f>ROUND(W177+W182,5)</f>
        <v>0</v>
      </c>
      <c r="AB183" s="86"/>
      <c r="AC183" s="86"/>
      <c r="AD183" s="86" t="s">
        <v>197</v>
      </c>
      <c r="AE183" s="86"/>
      <c r="AF183" s="86"/>
      <c r="AG183" s="86"/>
      <c r="AH183" s="87"/>
      <c r="AI183" s="87"/>
      <c r="AJ183" s="87"/>
      <c r="AK183" s="87"/>
      <c r="AL183" s="87">
        <v>0</v>
      </c>
      <c r="AM183" s="87">
        <v>0</v>
      </c>
      <c r="AN183" s="87">
        <v>0</v>
      </c>
      <c r="AO183" s="87">
        <v>0</v>
      </c>
      <c r="AP183" s="87">
        <v>0</v>
      </c>
      <c r="AQ183" s="87">
        <v>0</v>
      </c>
      <c r="AR183" s="87">
        <v>2768.64</v>
      </c>
      <c r="AS183" s="87">
        <v>0</v>
      </c>
      <c r="AT183" s="87">
        <v>0</v>
      </c>
      <c r="AU183" s="87">
        <v>0</v>
      </c>
      <c r="AV183" s="87">
        <v>0</v>
      </c>
      <c r="AW183" s="87">
        <v>0</v>
      </c>
      <c r="AX183" s="87"/>
      <c r="AY183" s="88">
        <f>ROUND(SUM(AH183:AX183),5)</f>
        <v>2768.64</v>
      </c>
      <c r="AZ183" s="88">
        <v>0</v>
      </c>
      <c r="BA183" s="88">
        <v>0</v>
      </c>
      <c r="BB183" s="89" t="s">
        <v>206</v>
      </c>
    </row>
    <row r="184" spans="1:54" ht="22.2" thickBot="1" x14ac:dyDescent="0.35">
      <c r="A184" s="50" t="s">
        <v>11</v>
      </c>
      <c r="B184" s="50"/>
      <c r="C184" s="50"/>
      <c r="D184" s="50"/>
      <c r="E184" s="50"/>
      <c r="F184" s="50"/>
      <c r="G184" s="50"/>
      <c r="H184" s="55">
        <f t="shared" ref="H184:P184" si="63">ROUND(H176+H183,5)</f>
        <v>24972.79</v>
      </c>
      <c r="I184" s="55">
        <f t="shared" si="63"/>
        <v>-28495.56</v>
      </c>
      <c r="J184" s="55">
        <f t="shared" si="63"/>
        <v>38740.58</v>
      </c>
      <c r="K184" s="55">
        <f t="shared" si="63"/>
        <v>11335.13</v>
      </c>
      <c r="L184" s="55">
        <f t="shared" si="63"/>
        <v>-18880.61</v>
      </c>
      <c r="M184" s="55">
        <f t="shared" si="63"/>
        <v>229859.34</v>
      </c>
      <c r="N184" s="55">
        <f t="shared" si="63"/>
        <v>131497.29</v>
      </c>
      <c r="O184" s="55">
        <f t="shared" si="63"/>
        <v>-7491.57</v>
      </c>
      <c r="P184" s="55">
        <f t="shared" si="63"/>
        <v>-373401.36</v>
      </c>
      <c r="Q184" s="55">
        <f>ROUND(Q176+Q183,5)</f>
        <v>2505.31</v>
      </c>
      <c r="R184" s="55">
        <f>ROUND(R176+R183,5)</f>
        <v>-14589.74</v>
      </c>
      <c r="S184" s="55">
        <f>ROUND(S176+S183,5)</f>
        <v>-422525.19</v>
      </c>
      <c r="T184" s="55"/>
      <c r="U184" s="55">
        <f t="shared" si="58"/>
        <v>-426473.59</v>
      </c>
      <c r="V184" s="55">
        <f>ROUND(V176+V183,5)</f>
        <v>-351500</v>
      </c>
      <c r="W184" s="55">
        <f>ROUND(W176+W183,5)</f>
        <v>0</v>
      </c>
      <c r="AB184" s="86"/>
      <c r="AC184" s="86" t="s">
        <v>9</v>
      </c>
      <c r="AD184" s="86"/>
      <c r="AE184" s="86"/>
      <c r="AF184" s="86"/>
      <c r="AG184" s="86"/>
      <c r="AH184" s="87"/>
      <c r="AI184" s="87"/>
      <c r="AJ184" s="87"/>
      <c r="AK184" s="87"/>
      <c r="AL184" s="87">
        <v>3379.65</v>
      </c>
      <c r="AM184" s="87">
        <v>-3012.35</v>
      </c>
      <c r="AN184" s="87">
        <v>-3352.29</v>
      </c>
      <c r="AO184" s="87">
        <v>-8759.74</v>
      </c>
      <c r="AP184" s="87">
        <v>2275.2600000000002</v>
      </c>
      <c r="AQ184" s="87">
        <v>-9141.42</v>
      </c>
      <c r="AR184" s="87">
        <v>-5290.7</v>
      </c>
      <c r="AS184" s="87">
        <v>-9875.18</v>
      </c>
      <c r="AT184" s="87">
        <v>-10281.08</v>
      </c>
      <c r="AU184" s="87">
        <v>-4192.53</v>
      </c>
      <c r="AV184" s="87">
        <v>11137.13</v>
      </c>
      <c r="AW184" s="87">
        <v>-416.52</v>
      </c>
      <c r="AX184" s="87"/>
      <c r="AY184" s="88">
        <f>ROUND(SUM(AH184:AX184),5)</f>
        <v>-37529.769999999997</v>
      </c>
      <c r="AZ184" s="88">
        <v>0</v>
      </c>
      <c r="BA184" s="88">
        <v>0</v>
      </c>
      <c r="BB184" s="89" t="s">
        <v>206</v>
      </c>
    </row>
    <row r="185" spans="1:54" ht="15.6" thickTop="1" thickBot="1" x14ac:dyDescent="0.35">
      <c r="AB185" s="86" t="s">
        <v>10</v>
      </c>
      <c r="AC185" s="86"/>
      <c r="AD185" s="86"/>
      <c r="AE185" s="86"/>
      <c r="AF185" s="86"/>
      <c r="AG185" s="86"/>
      <c r="AH185" s="96"/>
      <c r="AI185" s="96"/>
      <c r="AJ185" s="96"/>
      <c r="AK185" s="96"/>
      <c r="AL185" s="96">
        <f t="shared" ref="AL185:AW185" si="64">ROUND(SUM(AL182:AL184),5)</f>
        <v>3379.65</v>
      </c>
      <c r="AM185" s="96">
        <f t="shared" si="64"/>
        <v>-3012.35</v>
      </c>
      <c r="AN185" s="96">
        <f t="shared" si="64"/>
        <v>-3352.29</v>
      </c>
      <c r="AO185" s="96">
        <f t="shared" si="64"/>
        <v>-8759.74</v>
      </c>
      <c r="AP185" s="96">
        <f t="shared" si="64"/>
        <v>2275.2600000000002</v>
      </c>
      <c r="AQ185" s="96">
        <f t="shared" si="64"/>
        <v>-9141.42</v>
      </c>
      <c r="AR185" s="96">
        <f t="shared" si="64"/>
        <v>-2522.06</v>
      </c>
      <c r="AS185" s="96">
        <f t="shared" si="64"/>
        <v>-9875.18</v>
      </c>
      <c r="AT185" s="96">
        <f t="shared" si="64"/>
        <v>-10281.08</v>
      </c>
      <c r="AU185" s="96">
        <f t="shared" si="64"/>
        <v>-4192.53</v>
      </c>
      <c r="AV185" s="96">
        <f t="shared" si="64"/>
        <v>11137.13</v>
      </c>
      <c r="AW185" s="96">
        <f t="shared" si="64"/>
        <v>-416.52</v>
      </c>
      <c r="AX185" s="96"/>
      <c r="AY185" s="97">
        <f>ROUND(SUM(AH185:AX185),5)</f>
        <v>-34761.129999999997</v>
      </c>
      <c r="AZ185" s="97">
        <f>ROUND(SUM(AZ182:AZ184),5)</f>
        <v>0</v>
      </c>
      <c r="BA185" s="97">
        <f>ROUND(SUM(BA182:BA184),5)</f>
        <v>0</v>
      </c>
      <c r="BB185" s="98"/>
    </row>
    <row r="186" spans="1:54" ht="15" thickBot="1" x14ac:dyDescent="0.35">
      <c r="AB186" s="86"/>
      <c r="AC186" s="86"/>
      <c r="AD186" s="86"/>
      <c r="AE186" s="86"/>
      <c r="AF186" s="86"/>
      <c r="AG186" s="86"/>
      <c r="AH186" s="96"/>
      <c r="AI186" s="96"/>
      <c r="AJ186" s="96"/>
      <c r="AK186" s="96"/>
      <c r="AL186" s="96">
        <f t="shared" ref="AL186:AW186" si="65">ROUND(AL181+AL185,5)</f>
        <v>3379.65</v>
      </c>
      <c r="AM186" s="96">
        <f t="shared" si="65"/>
        <v>-3012.35</v>
      </c>
      <c r="AN186" s="96">
        <f t="shared" si="65"/>
        <v>-3352.29</v>
      </c>
      <c r="AO186" s="96">
        <f t="shared" si="65"/>
        <v>-8759.74</v>
      </c>
      <c r="AP186" s="96">
        <f t="shared" si="65"/>
        <v>2275.2600000000002</v>
      </c>
      <c r="AQ186" s="96">
        <f t="shared" si="65"/>
        <v>-9141.42</v>
      </c>
      <c r="AR186" s="96">
        <f t="shared" si="65"/>
        <v>-2522.06</v>
      </c>
      <c r="AS186" s="96">
        <f t="shared" si="65"/>
        <v>-9875.18</v>
      </c>
      <c r="AT186" s="96">
        <f t="shared" si="65"/>
        <v>-10281.08</v>
      </c>
      <c r="AU186" s="96">
        <f t="shared" si="65"/>
        <v>-4192.53</v>
      </c>
      <c r="AV186" s="96">
        <f t="shared" si="65"/>
        <v>11137.13</v>
      </c>
      <c r="AW186" s="96">
        <f t="shared" si="65"/>
        <v>-416.52</v>
      </c>
      <c r="AX186" s="96"/>
      <c r="AY186" s="97">
        <f>ROUND(SUM(AH186:AX186),5)</f>
        <v>-34761.129999999997</v>
      </c>
      <c r="AZ186" s="97">
        <f>ROUND(AZ181+AZ185,5)</f>
        <v>0</v>
      </c>
      <c r="BA186" s="97">
        <f>ROUND(BA181+BA185,5)</f>
        <v>0</v>
      </c>
      <c r="BB186" s="98"/>
    </row>
    <row r="187" spans="1:54" ht="15" thickBot="1" x14ac:dyDescent="0.35">
      <c r="AF187" s="86"/>
      <c r="AG187" s="86"/>
      <c r="AH187" s="106"/>
      <c r="AI187" s="106"/>
      <c r="AJ187" s="106"/>
      <c r="AK187" s="106"/>
      <c r="AL187" s="106">
        <f t="shared" ref="AL187:AW187" si="66">ROUND(AL180+AL186,5)</f>
        <v>-5461.39</v>
      </c>
      <c r="AM187" s="106">
        <f t="shared" si="66"/>
        <v>-13891.62</v>
      </c>
      <c r="AN187" s="106">
        <f t="shared" si="66"/>
        <v>-5677.73</v>
      </c>
      <c r="AO187" s="106">
        <f t="shared" si="66"/>
        <v>34737.85</v>
      </c>
      <c r="AP187" s="106">
        <f t="shared" si="66"/>
        <v>-11168.92</v>
      </c>
      <c r="AQ187" s="106">
        <f t="shared" si="66"/>
        <v>201781.62</v>
      </c>
      <c r="AR187" s="106">
        <f t="shared" si="66"/>
        <v>209369.41</v>
      </c>
      <c r="AS187" s="106">
        <f t="shared" si="66"/>
        <v>16803.47</v>
      </c>
      <c r="AT187" s="106">
        <f t="shared" si="66"/>
        <v>7166.63</v>
      </c>
      <c r="AU187" s="106">
        <f t="shared" si="66"/>
        <v>40104.85</v>
      </c>
      <c r="AV187" s="106">
        <f t="shared" si="66"/>
        <v>183958.75</v>
      </c>
      <c r="AW187" s="106">
        <f t="shared" si="66"/>
        <v>16013.61</v>
      </c>
      <c r="AX187" s="106"/>
      <c r="AY187" s="107">
        <f>ROUND(SUM(AH187:AX187),5)</f>
        <v>673736.53</v>
      </c>
      <c r="AZ187" s="107">
        <f>ROUND(AZ180+AZ186,5)</f>
        <v>-366500</v>
      </c>
      <c r="BA187" s="107">
        <f>ROUND(BA180+BA186,5)</f>
        <v>-351500</v>
      </c>
      <c r="BB187" s="108"/>
    </row>
    <row r="188" spans="1:54" ht="15" thickTop="1" x14ac:dyDescent="0.3"/>
  </sheetData>
  <printOptions horizontalCentered="1"/>
  <pageMargins left="0.7" right="0.7" top="0.75" bottom="0.75" header="0.1" footer="0.3"/>
  <pageSetup orientation="portrait" horizontalDpi="0" verticalDpi="0" r:id="rId1"/>
  <headerFooter>
    <oddHeader>&amp;C&amp;"Arial,Bold"&amp;12 Temecula Public Cemetery District
&amp;14Second&amp;12 &amp;14Draft Budget
22-23</oddHeader>
    <oddFooter>&amp;R&amp;"Arial,Bold"&amp;8 Page &amp;P of &amp;N</oddFooter>
  </headerFooter>
  <drawing r:id="rId2"/>
  <legacyDrawing r:id="rId3"/>
  <controls>
    <mc:AlternateContent xmlns:mc="http://schemas.openxmlformats.org/markup-compatibility/2006">
      <mc:Choice Requires="x14">
        <control shapeId="122882" r:id="rId4" name="HEADER">
          <controlPr defaultSize="0" autoLine="0" r:id="rId5">
            <anchor moveWithCells="1">
              <from>
                <xdr:col>0</xdr:col>
                <xdr:colOff>0</xdr:colOff>
                <xdr:row>0</xdr:row>
                <xdr:rowOff>0</xdr:rowOff>
              </from>
              <to>
                <xdr:col>4</xdr:col>
                <xdr:colOff>68580</xdr:colOff>
                <xdr:row>0</xdr:row>
                <xdr:rowOff>236220</xdr:rowOff>
              </to>
            </anchor>
          </controlPr>
        </control>
      </mc:Choice>
      <mc:Fallback>
        <control shapeId="122882" r:id="rId4" name="HEADER"/>
      </mc:Fallback>
    </mc:AlternateContent>
    <mc:AlternateContent xmlns:mc="http://schemas.openxmlformats.org/markup-compatibility/2006">
      <mc:Choice Requires="x14">
        <control shapeId="122881" r:id="rId6" name="FILTER">
          <controlPr defaultSize="0" autoLine="0" r:id="rId7">
            <anchor moveWithCells="1">
              <from>
                <xdr:col>0</xdr:col>
                <xdr:colOff>0</xdr:colOff>
                <xdr:row>0</xdr:row>
                <xdr:rowOff>0</xdr:rowOff>
              </from>
              <to>
                <xdr:col>4</xdr:col>
                <xdr:colOff>68580</xdr:colOff>
                <xdr:row>0</xdr:row>
                <xdr:rowOff>236220</xdr:rowOff>
              </to>
            </anchor>
          </controlPr>
        </control>
      </mc:Choice>
      <mc:Fallback>
        <control shapeId="122881" r:id="rId6" name="FILTER"/>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58FD0-7E60-4E0A-A063-354C1042A328}">
  <sheetPr codeName="Sheet3"/>
  <dimension ref="A1:BD188"/>
  <sheetViews>
    <sheetView workbookViewId="0">
      <pane xSplit="7" ySplit="1" topLeftCell="U2" activePane="bottomRight" state="frozenSplit"/>
      <selection pane="topRight" activeCell="H1" sqref="H1"/>
      <selection pane="bottomLeft" activeCell="A2" sqref="A2"/>
      <selection pane="bottomRight" activeCell="A125" sqref="A125:XFD135"/>
    </sheetView>
  </sheetViews>
  <sheetFormatPr defaultRowHeight="14.4" x14ac:dyDescent="0.3"/>
  <cols>
    <col min="1" max="6" width="3" style="56" customWidth="1"/>
    <col min="7" max="7" width="30.5546875" style="56" customWidth="1"/>
    <col min="8" max="8" width="7.88671875" hidden="1" customWidth="1"/>
    <col min="9" max="12" width="8.44140625" hidden="1" customWidth="1"/>
    <col min="13" max="14" width="8.6640625" hidden="1" customWidth="1"/>
    <col min="15" max="15" width="8.44140625" hidden="1" customWidth="1"/>
    <col min="16" max="16" width="9.33203125" hidden="1" customWidth="1"/>
    <col min="17" max="17" width="7.88671875" hidden="1" customWidth="1"/>
    <col min="18" max="19" width="8.6640625" hidden="1" customWidth="1"/>
    <col min="20" max="20" width="8.33203125" hidden="1" customWidth="1"/>
    <col min="21" max="23" width="10" bestFit="1" customWidth="1"/>
    <col min="24" max="24" width="32.5546875" style="68" hidden="1" customWidth="1"/>
    <col min="25" max="27" width="0" hidden="1" customWidth="1"/>
    <col min="28" max="32" width="3" style="105" hidden="1" customWidth="1"/>
    <col min="33" max="33" width="23.44140625" style="105" hidden="1" customWidth="1"/>
    <col min="34" max="35" width="7.109375" style="109" hidden="1" customWidth="1"/>
    <col min="36" max="36" width="7.88671875" style="109" hidden="1" customWidth="1"/>
    <col min="37" max="37" width="8.33203125" style="109" hidden="1" customWidth="1"/>
    <col min="38" max="38" width="7.109375" style="109" hidden="1" customWidth="1"/>
    <col min="39" max="39" width="7.5546875" style="109" hidden="1" customWidth="1"/>
    <col min="40" max="41" width="7.109375" style="109" hidden="1" customWidth="1"/>
    <col min="42" max="42" width="7.5546875" style="109" hidden="1" customWidth="1"/>
    <col min="43" max="44" width="7.88671875" style="109" hidden="1" customWidth="1"/>
    <col min="45" max="45" width="7.109375" style="109" hidden="1" customWidth="1"/>
    <col min="46" max="46" width="7.5546875" style="109" hidden="1" customWidth="1"/>
    <col min="47" max="49" width="9.5546875" style="109" hidden="1" customWidth="1"/>
    <col min="50" max="50" width="7.5546875" style="109" hidden="1" customWidth="1"/>
    <col min="51" max="51" width="10.109375" style="110" hidden="1" customWidth="1"/>
    <col min="52" max="52" width="9.5546875" style="110" hidden="1" customWidth="1"/>
    <col min="53" max="53" width="10" style="110" hidden="1" customWidth="1"/>
    <col min="54" max="54" width="22.88671875" style="111" hidden="1" customWidth="1"/>
    <col min="55" max="56" width="0" hidden="1" customWidth="1"/>
  </cols>
  <sheetData>
    <row r="1" spans="1:54" s="65" customFormat="1" ht="33.75" customHeight="1" thickBot="1" x14ac:dyDescent="0.25">
      <c r="A1" s="63"/>
      <c r="B1" s="63"/>
      <c r="C1" s="63"/>
      <c r="D1" s="63"/>
      <c r="E1" s="63"/>
      <c r="F1" s="63"/>
      <c r="G1" s="63"/>
      <c r="H1" s="64" t="s">
        <v>266</v>
      </c>
      <c r="I1" s="64" t="s">
        <v>267</v>
      </c>
      <c r="J1" s="64" t="s">
        <v>268</v>
      </c>
      <c r="K1" s="64" t="s">
        <v>269</v>
      </c>
      <c r="L1" s="64" t="s">
        <v>270</v>
      </c>
      <c r="M1" s="64" t="s">
        <v>271</v>
      </c>
      <c r="N1" s="64" t="s">
        <v>272</v>
      </c>
      <c r="O1" s="64" t="s">
        <v>273</v>
      </c>
      <c r="P1" s="64" t="s">
        <v>274</v>
      </c>
      <c r="Q1" s="64" t="s">
        <v>294</v>
      </c>
      <c r="R1" s="64" t="s">
        <v>281</v>
      </c>
      <c r="S1" s="64" t="s">
        <v>282</v>
      </c>
      <c r="T1" s="64"/>
      <c r="U1" s="64" t="s">
        <v>0</v>
      </c>
      <c r="V1" s="64" t="s">
        <v>284</v>
      </c>
      <c r="W1" s="64" t="s">
        <v>283</v>
      </c>
      <c r="X1" s="68"/>
      <c r="AB1" s="83"/>
      <c r="AC1" s="83"/>
      <c r="AD1" s="83"/>
      <c r="AE1" s="83"/>
      <c r="AF1" s="83"/>
      <c r="AG1" s="83"/>
      <c r="AH1" s="84"/>
      <c r="AI1" s="84"/>
      <c r="AJ1" s="84"/>
      <c r="AK1" s="84"/>
      <c r="AL1" s="84" t="s">
        <v>221</v>
      </c>
      <c r="AM1" s="84" t="s">
        <v>222</v>
      </c>
      <c r="AN1" s="84" t="s">
        <v>223</v>
      </c>
      <c r="AO1" s="84" t="s">
        <v>224</v>
      </c>
      <c r="AP1" s="84" t="s">
        <v>225</v>
      </c>
      <c r="AQ1" s="84" t="s">
        <v>226</v>
      </c>
      <c r="AR1" s="84" t="s">
        <v>227</v>
      </c>
      <c r="AS1" s="84" t="s">
        <v>228</v>
      </c>
      <c r="AT1" s="84" t="s">
        <v>229</v>
      </c>
      <c r="AU1" s="84" t="s">
        <v>260</v>
      </c>
      <c r="AV1" s="84" t="s">
        <v>234</v>
      </c>
      <c r="AW1" s="84" t="s">
        <v>235</v>
      </c>
      <c r="AX1" s="84"/>
      <c r="AY1" s="85" t="s">
        <v>236</v>
      </c>
      <c r="AZ1" s="85" t="s">
        <v>220</v>
      </c>
      <c r="BA1" s="85" t="s">
        <v>240</v>
      </c>
      <c r="BB1" s="85" t="s">
        <v>241</v>
      </c>
    </row>
    <row r="2" spans="1:54" ht="15" thickTop="1" x14ac:dyDescent="0.3">
      <c r="A2" s="50"/>
      <c r="B2" s="50" t="s">
        <v>1</v>
      </c>
      <c r="C2" s="50"/>
      <c r="D2" s="50"/>
      <c r="E2" s="50"/>
      <c r="F2" s="50"/>
      <c r="G2" s="50"/>
      <c r="H2" s="51"/>
      <c r="I2" s="51"/>
      <c r="J2" s="51"/>
      <c r="K2" s="51"/>
      <c r="L2" s="51"/>
      <c r="M2" s="51"/>
      <c r="N2" s="51"/>
      <c r="O2" s="51"/>
      <c r="P2" s="51"/>
      <c r="Q2" s="51"/>
      <c r="R2" s="51"/>
      <c r="S2" s="51"/>
      <c r="T2" s="51"/>
      <c r="U2" s="51"/>
      <c r="V2" s="51"/>
      <c r="W2" s="51"/>
      <c r="AB2" s="86" t="s">
        <v>1</v>
      </c>
      <c r="AC2" s="86"/>
      <c r="AD2" s="86"/>
      <c r="AE2" s="86"/>
      <c r="AF2" s="86"/>
      <c r="AG2" s="86"/>
      <c r="AH2" s="87"/>
      <c r="AI2" s="87"/>
      <c r="AJ2" s="87"/>
      <c r="AK2" s="87"/>
      <c r="AL2" s="87"/>
      <c r="AM2" s="87"/>
      <c r="AN2" s="87"/>
      <c r="AO2" s="87"/>
      <c r="AP2" s="87"/>
      <c r="AQ2" s="87"/>
      <c r="AR2" s="87"/>
      <c r="AS2" s="87"/>
      <c r="AT2" s="87"/>
      <c r="AU2" s="87"/>
      <c r="AV2" s="87"/>
      <c r="AW2" s="87"/>
      <c r="AX2" s="87"/>
      <c r="AY2" s="88"/>
      <c r="AZ2" s="88"/>
      <c r="BA2" s="88"/>
      <c r="BB2" s="89"/>
    </row>
    <row r="3" spans="1:54" x14ac:dyDescent="0.3">
      <c r="A3" s="50"/>
      <c r="B3" s="50"/>
      <c r="C3" s="50"/>
      <c r="D3" s="50" t="s">
        <v>2</v>
      </c>
      <c r="E3" s="50"/>
      <c r="F3" s="50"/>
      <c r="G3" s="50"/>
      <c r="H3" s="51"/>
      <c r="I3" s="51"/>
      <c r="J3" s="51"/>
      <c r="K3" s="51"/>
      <c r="L3" s="51"/>
      <c r="M3" s="51"/>
      <c r="N3" s="51"/>
      <c r="O3" s="51"/>
      <c r="P3" s="51"/>
      <c r="Q3" s="51"/>
      <c r="R3" s="51"/>
      <c r="S3" s="51"/>
      <c r="T3" s="51"/>
      <c r="U3" s="51"/>
      <c r="V3" s="51"/>
      <c r="W3" s="51"/>
      <c r="AB3" s="86"/>
      <c r="AC3" s="86"/>
      <c r="AD3" s="86" t="s">
        <v>2</v>
      </c>
      <c r="AE3" s="86"/>
      <c r="AF3" s="86"/>
      <c r="AG3" s="86"/>
      <c r="AH3" s="87"/>
      <c r="AI3" s="87"/>
      <c r="AJ3" s="87"/>
      <c r="AK3" s="87"/>
      <c r="AL3" s="87"/>
      <c r="AM3" s="87"/>
      <c r="AN3" s="87"/>
      <c r="AO3" s="87"/>
      <c r="AP3" s="87"/>
      <c r="AQ3" s="87"/>
      <c r="AR3" s="87"/>
      <c r="AS3" s="87"/>
      <c r="AT3" s="87"/>
      <c r="AU3" s="87"/>
      <c r="AV3" s="87"/>
      <c r="AW3" s="87"/>
      <c r="AX3" s="87"/>
      <c r="AY3" s="88"/>
      <c r="AZ3" s="88"/>
      <c r="BA3" s="88"/>
      <c r="BB3" s="89"/>
    </row>
    <row r="4" spans="1:54" x14ac:dyDescent="0.3">
      <c r="A4" s="50"/>
      <c r="B4" s="50"/>
      <c r="C4" s="50"/>
      <c r="D4" s="50"/>
      <c r="E4" s="50" t="s">
        <v>74</v>
      </c>
      <c r="F4" s="50"/>
      <c r="G4" s="50"/>
      <c r="H4" s="51"/>
      <c r="I4" s="51"/>
      <c r="J4" s="51"/>
      <c r="K4" s="51"/>
      <c r="L4" s="51"/>
      <c r="M4" s="51"/>
      <c r="N4" s="51"/>
      <c r="O4" s="51"/>
      <c r="P4" s="51"/>
      <c r="Q4" s="51"/>
      <c r="R4" s="51"/>
      <c r="S4" s="51"/>
      <c r="T4" s="51"/>
      <c r="U4" s="51"/>
      <c r="V4" s="51"/>
      <c r="W4" s="51"/>
      <c r="AB4" s="86"/>
      <c r="AC4" s="86"/>
      <c r="AD4" s="86"/>
      <c r="AE4" s="86" t="s">
        <v>74</v>
      </c>
      <c r="AF4" s="86"/>
      <c r="AG4" s="86"/>
      <c r="AH4" s="87"/>
      <c r="AI4" s="87"/>
      <c r="AJ4" s="87"/>
      <c r="AK4" s="87"/>
      <c r="AL4" s="87"/>
      <c r="AM4" s="87"/>
      <c r="AN4" s="87"/>
      <c r="AO4" s="87"/>
      <c r="AP4" s="87"/>
      <c r="AQ4" s="87"/>
      <c r="AR4" s="87"/>
      <c r="AS4" s="87"/>
      <c r="AT4" s="87"/>
      <c r="AU4" s="87"/>
      <c r="AV4" s="87"/>
      <c r="AW4" s="87"/>
      <c r="AX4" s="87"/>
      <c r="AY4" s="88"/>
      <c r="AZ4" s="88"/>
      <c r="BA4" s="88"/>
      <c r="BB4" s="89"/>
    </row>
    <row r="5" spans="1:54" x14ac:dyDescent="0.3">
      <c r="A5" s="50"/>
      <c r="B5" s="50"/>
      <c r="C5" s="50"/>
      <c r="D5" s="50"/>
      <c r="E5" s="50"/>
      <c r="F5" s="50" t="s">
        <v>75</v>
      </c>
      <c r="G5" s="50"/>
      <c r="H5" s="51">
        <v>0</v>
      </c>
      <c r="I5" s="51">
        <v>0</v>
      </c>
      <c r="J5" s="51">
        <v>0</v>
      </c>
      <c r="K5" s="51">
        <v>10434.290000000001</v>
      </c>
      <c r="L5" s="51">
        <v>-1558.69</v>
      </c>
      <c r="M5" s="51">
        <v>207958.45</v>
      </c>
      <c r="N5" s="51">
        <v>168614.58</v>
      </c>
      <c r="O5" s="51">
        <v>0</v>
      </c>
      <c r="P5" s="51">
        <v>0</v>
      </c>
      <c r="Q5" s="51">
        <v>69317.960000000006</v>
      </c>
      <c r="R5" s="51">
        <v>201866.14</v>
      </c>
      <c r="S5" s="51">
        <v>16877</v>
      </c>
      <c r="T5" s="51"/>
      <c r="U5" s="51">
        <f t="shared" ref="U5:U15" si="0">ROUND(SUM(H5:T5),5)</f>
        <v>673509.73</v>
      </c>
      <c r="V5" s="67">
        <v>663000</v>
      </c>
      <c r="W5" s="67">
        <v>663000</v>
      </c>
      <c r="AB5" s="86"/>
      <c r="AC5" s="86"/>
      <c r="AD5" s="86"/>
      <c r="AE5" s="86"/>
      <c r="AF5" s="86" t="s">
        <v>75</v>
      </c>
      <c r="AG5" s="86"/>
      <c r="AH5" s="87"/>
      <c r="AI5" s="87"/>
      <c r="AJ5" s="87"/>
      <c r="AK5" s="87"/>
      <c r="AL5" s="87">
        <v>-4000.33</v>
      </c>
      <c r="AM5" s="87">
        <v>0</v>
      </c>
      <c r="AN5" s="87">
        <v>0</v>
      </c>
      <c r="AO5" s="87">
        <v>0</v>
      </c>
      <c r="AP5" s="87">
        <v>0</v>
      </c>
      <c r="AQ5" s="87">
        <v>198022.72</v>
      </c>
      <c r="AR5" s="87">
        <v>156187.59</v>
      </c>
      <c r="AS5" s="87">
        <v>3095.51</v>
      </c>
      <c r="AT5" s="87">
        <v>0</v>
      </c>
      <c r="AU5" s="87">
        <v>66007.55</v>
      </c>
      <c r="AV5" s="87">
        <v>190781.16</v>
      </c>
      <c r="AW5" s="87">
        <v>13907</v>
      </c>
      <c r="AX5" s="87"/>
      <c r="AY5" s="88">
        <f t="shared" ref="AY5:AY15" si="1">ROUND(SUM(AH5:AX5),5)</f>
        <v>624001.19999999995</v>
      </c>
      <c r="AZ5" s="88">
        <v>625300</v>
      </c>
      <c r="BA5" s="88">
        <v>663000</v>
      </c>
      <c r="BB5" s="89"/>
    </row>
    <row r="6" spans="1:54" x14ac:dyDescent="0.3">
      <c r="A6" s="50"/>
      <c r="B6" s="50"/>
      <c r="C6" s="50"/>
      <c r="D6" s="50"/>
      <c r="E6" s="50"/>
      <c r="F6" s="50" t="s">
        <v>76</v>
      </c>
      <c r="G6" s="50"/>
      <c r="H6" s="51">
        <v>0</v>
      </c>
      <c r="I6" s="51">
        <v>2255.1999999999998</v>
      </c>
      <c r="J6" s="51">
        <v>0</v>
      </c>
      <c r="K6" s="51">
        <v>28316.05</v>
      </c>
      <c r="L6" s="51">
        <v>0</v>
      </c>
      <c r="M6" s="51">
        <v>0</v>
      </c>
      <c r="N6" s="51">
        <v>0</v>
      </c>
      <c r="O6" s="51">
        <v>0</v>
      </c>
      <c r="P6" s="51">
        <v>4147.16</v>
      </c>
      <c r="Q6" s="51">
        <v>0</v>
      </c>
      <c r="R6" s="51">
        <v>0</v>
      </c>
      <c r="S6" s="51">
        <v>2000</v>
      </c>
      <c r="T6" s="51"/>
      <c r="U6" s="51">
        <f t="shared" si="0"/>
        <v>36718.410000000003</v>
      </c>
      <c r="V6" s="67">
        <v>25000</v>
      </c>
      <c r="W6" s="67">
        <v>25000</v>
      </c>
      <c r="AB6" s="86"/>
      <c r="AC6" s="86"/>
      <c r="AD6" s="86"/>
      <c r="AE6" s="86"/>
      <c r="AF6" s="86" t="s">
        <v>76</v>
      </c>
      <c r="AG6" s="86"/>
      <c r="AH6" s="87"/>
      <c r="AI6" s="87"/>
      <c r="AJ6" s="87"/>
      <c r="AK6" s="87"/>
      <c r="AL6" s="87">
        <v>0</v>
      </c>
      <c r="AM6" s="87">
        <v>0</v>
      </c>
      <c r="AN6" s="87">
        <v>0</v>
      </c>
      <c r="AO6" s="87">
        <v>25398.66</v>
      </c>
      <c r="AP6" s="87">
        <v>0</v>
      </c>
      <c r="AQ6" s="87">
        <v>1708.76</v>
      </c>
      <c r="AR6" s="87">
        <v>0</v>
      </c>
      <c r="AS6" s="87">
        <v>0</v>
      </c>
      <c r="AT6" s="87">
        <v>0</v>
      </c>
      <c r="AU6" s="87">
        <v>0</v>
      </c>
      <c r="AV6" s="87">
        <v>0</v>
      </c>
      <c r="AW6" s="87">
        <v>17730</v>
      </c>
      <c r="AX6" s="87"/>
      <c r="AY6" s="88">
        <f t="shared" si="1"/>
        <v>44837.42</v>
      </c>
      <c r="AZ6" s="88">
        <v>15000</v>
      </c>
      <c r="BA6" s="88">
        <v>25000</v>
      </c>
      <c r="BB6" s="89" t="s">
        <v>254</v>
      </c>
    </row>
    <row r="7" spans="1:54" x14ac:dyDescent="0.3">
      <c r="A7" s="50"/>
      <c r="B7" s="50"/>
      <c r="C7" s="50"/>
      <c r="D7" s="50"/>
      <c r="E7" s="50"/>
      <c r="F7" s="50" t="s">
        <v>275</v>
      </c>
      <c r="G7" s="50"/>
      <c r="H7" s="51">
        <v>0</v>
      </c>
      <c r="I7" s="51">
        <v>-965.01</v>
      </c>
      <c r="J7" s="51">
        <v>0</v>
      </c>
      <c r="K7" s="51">
        <v>0</v>
      </c>
      <c r="L7" s="51">
        <v>0</v>
      </c>
      <c r="M7" s="51">
        <v>0</v>
      </c>
      <c r="N7" s="51">
        <v>0</v>
      </c>
      <c r="O7" s="51">
        <v>0</v>
      </c>
      <c r="P7" s="51">
        <v>0</v>
      </c>
      <c r="Q7" s="51">
        <v>0</v>
      </c>
      <c r="R7" s="51">
        <v>0</v>
      </c>
      <c r="S7" s="51">
        <v>0</v>
      </c>
      <c r="T7" s="51"/>
      <c r="U7" s="51">
        <f t="shared" si="0"/>
        <v>-965.01</v>
      </c>
      <c r="V7" s="51">
        <v>0</v>
      </c>
      <c r="W7" s="51">
        <v>0</v>
      </c>
      <c r="AB7" s="86"/>
      <c r="AC7" s="86"/>
      <c r="AD7" s="86"/>
      <c r="AE7" s="86"/>
      <c r="AF7" s="86"/>
      <c r="AG7" s="86"/>
      <c r="AH7" s="87"/>
      <c r="AI7" s="87"/>
      <c r="AJ7" s="87"/>
      <c r="AK7" s="87"/>
      <c r="AL7" s="87"/>
      <c r="AM7" s="87"/>
      <c r="AN7" s="87"/>
      <c r="AO7" s="87"/>
      <c r="AP7" s="87"/>
      <c r="AQ7" s="87"/>
      <c r="AR7" s="87"/>
      <c r="AS7" s="87"/>
      <c r="AT7" s="87"/>
      <c r="AU7" s="87"/>
      <c r="AV7" s="87"/>
      <c r="AW7" s="87"/>
      <c r="AX7" s="87"/>
      <c r="AY7" s="88"/>
      <c r="AZ7" s="88"/>
      <c r="BA7" s="88"/>
      <c r="BB7" s="89"/>
    </row>
    <row r="8" spans="1:54" x14ac:dyDescent="0.3">
      <c r="A8" s="50"/>
      <c r="B8" s="50"/>
      <c r="C8" s="50"/>
      <c r="D8" s="50"/>
      <c r="E8" s="50"/>
      <c r="F8" s="50" t="s">
        <v>77</v>
      </c>
      <c r="G8" s="50"/>
      <c r="H8" s="51">
        <v>0</v>
      </c>
      <c r="I8" s="51">
        <v>0</v>
      </c>
      <c r="J8" s="51">
        <v>0</v>
      </c>
      <c r="K8" s="51">
        <v>0</v>
      </c>
      <c r="L8" s="51">
        <v>0</v>
      </c>
      <c r="M8" s="51">
        <v>0</v>
      </c>
      <c r="N8" s="51">
        <v>0</v>
      </c>
      <c r="O8" s="51">
        <v>0</v>
      </c>
      <c r="P8" s="51">
        <v>0</v>
      </c>
      <c r="Q8" s="51">
        <v>0</v>
      </c>
      <c r="R8" s="51">
        <v>4035.74</v>
      </c>
      <c r="S8" s="51">
        <v>3049</v>
      </c>
      <c r="T8" s="51"/>
      <c r="U8" s="51">
        <f t="shared" si="0"/>
        <v>7084.74</v>
      </c>
      <c r="V8" s="67">
        <v>9600</v>
      </c>
      <c r="W8" s="67">
        <v>9600</v>
      </c>
      <c r="AB8" s="86"/>
      <c r="AC8" s="86"/>
      <c r="AD8" s="86"/>
      <c r="AE8" s="86"/>
      <c r="AF8" s="86" t="s">
        <v>77</v>
      </c>
      <c r="AG8" s="86"/>
      <c r="AH8" s="87"/>
      <c r="AI8" s="87"/>
      <c r="AJ8" s="87"/>
      <c r="AK8" s="87"/>
      <c r="AL8" s="87">
        <v>0</v>
      </c>
      <c r="AM8" s="87">
        <v>0</v>
      </c>
      <c r="AN8" s="87">
        <v>0</v>
      </c>
      <c r="AO8" s="87">
        <v>0</v>
      </c>
      <c r="AP8" s="87">
        <v>0</v>
      </c>
      <c r="AQ8" s="87">
        <v>0</v>
      </c>
      <c r="AR8" s="87">
        <v>3744.8</v>
      </c>
      <c r="AS8" s="87">
        <v>0</v>
      </c>
      <c r="AT8" s="87">
        <v>2285.4699999999998</v>
      </c>
      <c r="AU8" s="87">
        <v>0</v>
      </c>
      <c r="AV8" s="87">
        <v>3115.61</v>
      </c>
      <c r="AW8" s="87">
        <v>260</v>
      </c>
      <c r="AX8" s="87"/>
      <c r="AY8" s="88">
        <f t="shared" si="1"/>
        <v>9405.8799999999992</v>
      </c>
      <c r="AZ8" s="88">
        <v>9000</v>
      </c>
      <c r="BA8" s="88">
        <v>9600</v>
      </c>
      <c r="BB8" s="89" t="s">
        <v>254</v>
      </c>
    </row>
    <row r="9" spans="1:54" x14ac:dyDescent="0.3">
      <c r="A9" s="50"/>
      <c r="B9" s="50"/>
      <c r="C9" s="50"/>
      <c r="D9" s="50"/>
      <c r="E9" s="50"/>
      <c r="F9" s="50" t="s">
        <v>78</v>
      </c>
      <c r="G9" s="50"/>
      <c r="H9" s="51">
        <v>0</v>
      </c>
      <c r="I9" s="51">
        <v>511.88</v>
      </c>
      <c r="J9" s="51">
        <v>0</v>
      </c>
      <c r="K9" s="51">
        <v>0</v>
      </c>
      <c r="L9" s="51">
        <v>0</v>
      </c>
      <c r="M9" s="51">
        <v>0</v>
      </c>
      <c r="N9" s="51">
        <v>0</v>
      </c>
      <c r="O9" s="51">
        <v>8608.42</v>
      </c>
      <c r="P9" s="51">
        <v>1439.07</v>
      </c>
      <c r="Q9" s="51">
        <v>0</v>
      </c>
      <c r="R9" s="51">
        <v>579.12</v>
      </c>
      <c r="S9" s="51">
        <v>0</v>
      </c>
      <c r="T9" s="51"/>
      <c r="U9" s="51">
        <f t="shared" si="0"/>
        <v>11138.49</v>
      </c>
      <c r="V9" s="67">
        <v>4500</v>
      </c>
      <c r="W9" s="67">
        <v>4500</v>
      </c>
      <c r="AB9" s="86"/>
      <c r="AC9" s="86"/>
      <c r="AD9" s="86"/>
      <c r="AE9" s="86"/>
      <c r="AF9" s="86" t="s">
        <v>78</v>
      </c>
      <c r="AG9" s="86"/>
      <c r="AH9" s="87"/>
      <c r="AI9" s="87"/>
      <c r="AJ9" s="87"/>
      <c r="AK9" s="87"/>
      <c r="AL9" s="87">
        <v>0</v>
      </c>
      <c r="AM9" s="87">
        <v>0</v>
      </c>
      <c r="AN9" s="87">
        <v>0</v>
      </c>
      <c r="AO9" s="87">
        <v>0</v>
      </c>
      <c r="AP9" s="87">
        <v>0</v>
      </c>
      <c r="AQ9" s="87">
        <v>0</v>
      </c>
      <c r="AR9" s="87">
        <v>3829.4</v>
      </c>
      <c r="AS9" s="87">
        <v>0</v>
      </c>
      <c r="AT9" s="87">
        <v>644.45000000000005</v>
      </c>
      <c r="AU9" s="87">
        <v>0</v>
      </c>
      <c r="AV9" s="87">
        <v>0</v>
      </c>
      <c r="AW9" s="87">
        <v>2014.63</v>
      </c>
      <c r="AX9" s="87"/>
      <c r="AY9" s="88">
        <f t="shared" si="1"/>
        <v>6488.48</v>
      </c>
      <c r="AZ9" s="88">
        <v>3500</v>
      </c>
      <c r="BA9" s="88">
        <v>4500</v>
      </c>
      <c r="BB9" s="89" t="s">
        <v>254</v>
      </c>
    </row>
    <row r="10" spans="1:54" x14ac:dyDescent="0.3">
      <c r="A10" s="50"/>
      <c r="B10" s="50"/>
      <c r="C10" s="50"/>
      <c r="D10" s="50"/>
      <c r="E10" s="50"/>
      <c r="F10" s="50" t="s">
        <v>79</v>
      </c>
      <c r="G10" s="50"/>
      <c r="H10" s="51">
        <v>0</v>
      </c>
      <c r="I10" s="51">
        <v>0</v>
      </c>
      <c r="J10" s="51">
        <v>0</v>
      </c>
      <c r="K10" s="51">
        <v>0</v>
      </c>
      <c r="L10" s="51">
        <v>0</v>
      </c>
      <c r="M10" s="51">
        <v>0</v>
      </c>
      <c r="N10" s="51">
        <v>0</v>
      </c>
      <c r="O10" s="51">
        <v>0</v>
      </c>
      <c r="P10" s="51">
        <v>0</v>
      </c>
      <c r="Q10" s="51">
        <v>0</v>
      </c>
      <c r="R10" s="51">
        <v>0</v>
      </c>
      <c r="S10" s="51">
        <v>-4890</v>
      </c>
      <c r="T10" s="51"/>
      <c r="U10" s="51">
        <f t="shared" si="0"/>
        <v>-4890</v>
      </c>
      <c r="V10" s="67">
        <v>10000</v>
      </c>
      <c r="W10" s="67">
        <v>10000</v>
      </c>
      <c r="AB10" s="86"/>
      <c r="AC10" s="86"/>
      <c r="AD10" s="86"/>
      <c r="AE10" s="86"/>
      <c r="AF10" s="86" t="s">
        <v>79</v>
      </c>
      <c r="AG10" s="86"/>
      <c r="AH10" s="87"/>
      <c r="AI10" s="87"/>
      <c r="AJ10" s="87"/>
      <c r="AK10" s="87"/>
      <c r="AL10" s="87">
        <v>0</v>
      </c>
      <c r="AM10" s="87">
        <v>0</v>
      </c>
      <c r="AN10" s="87">
        <v>0</v>
      </c>
      <c r="AO10" s="87">
        <v>4889.55</v>
      </c>
      <c r="AP10" s="87">
        <v>0</v>
      </c>
      <c r="AQ10" s="87">
        <v>0</v>
      </c>
      <c r="AR10" s="87">
        <v>0</v>
      </c>
      <c r="AS10" s="87">
        <v>0</v>
      </c>
      <c r="AT10" s="87">
        <v>0</v>
      </c>
      <c r="AU10" s="87">
        <v>0</v>
      </c>
      <c r="AV10" s="87">
        <v>0</v>
      </c>
      <c r="AW10" s="87">
        <v>-1639</v>
      </c>
      <c r="AX10" s="87"/>
      <c r="AY10" s="88">
        <f t="shared" si="1"/>
        <v>3250.55</v>
      </c>
      <c r="AZ10" s="88">
        <v>10000</v>
      </c>
      <c r="BA10" s="88">
        <v>10000</v>
      </c>
      <c r="BB10" s="89"/>
    </row>
    <row r="11" spans="1:54" x14ac:dyDescent="0.3">
      <c r="A11" s="50"/>
      <c r="B11" s="50"/>
      <c r="C11" s="50"/>
      <c r="D11" s="50"/>
      <c r="E11" s="50"/>
      <c r="F11" s="50" t="s">
        <v>80</v>
      </c>
      <c r="G11" s="50"/>
      <c r="H11" s="51">
        <v>0</v>
      </c>
      <c r="I11" s="51">
        <v>0</v>
      </c>
      <c r="J11" s="51">
        <v>0</v>
      </c>
      <c r="K11" s="51">
        <v>0</v>
      </c>
      <c r="L11" s="51">
        <v>0</v>
      </c>
      <c r="M11" s="51">
        <v>48208.65</v>
      </c>
      <c r="N11" s="51">
        <v>0</v>
      </c>
      <c r="O11" s="51">
        <v>0</v>
      </c>
      <c r="P11" s="51">
        <v>0</v>
      </c>
      <c r="Q11" s="51">
        <v>0</v>
      </c>
      <c r="R11" s="51">
        <v>0</v>
      </c>
      <c r="S11" s="51">
        <v>48301</v>
      </c>
      <c r="T11" s="51"/>
      <c r="U11" s="51">
        <f t="shared" si="0"/>
        <v>96509.65</v>
      </c>
      <c r="V11" s="67">
        <v>40000</v>
      </c>
      <c r="W11" s="67">
        <v>40000</v>
      </c>
      <c r="AB11" s="86"/>
      <c r="AC11" s="86"/>
      <c r="AD11" s="86"/>
      <c r="AE11" s="86"/>
      <c r="AF11" s="86" t="s">
        <v>80</v>
      </c>
      <c r="AG11" s="86"/>
      <c r="AH11" s="87"/>
      <c r="AI11" s="87"/>
      <c r="AJ11" s="87"/>
      <c r="AK11" s="87"/>
      <c r="AL11" s="87">
        <v>0</v>
      </c>
      <c r="AM11" s="87">
        <v>0</v>
      </c>
      <c r="AN11" s="87">
        <v>0</v>
      </c>
      <c r="AO11" s="87">
        <v>0</v>
      </c>
      <c r="AP11" s="87">
        <v>0</v>
      </c>
      <c r="AQ11" s="87">
        <v>0</v>
      </c>
      <c r="AR11" s="87">
        <v>43513.8</v>
      </c>
      <c r="AS11" s="87">
        <v>0</v>
      </c>
      <c r="AT11" s="87">
        <v>0</v>
      </c>
      <c r="AU11" s="87">
        <v>0</v>
      </c>
      <c r="AV11" s="87">
        <v>0</v>
      </c>
      <c r="AW11" s="87">
        <v>41834.04</v>
      </c>
      <c r="AX11" s="87"/>
      <c r="AY11" s="88">
        <f t="shared" si="1"/>
        <v>85347.839999999997</v>
      </c>
      <c r="AZ11" s="88">
        <v>40000</v>
      </c>
      <c r="BA11" s="88">
        <v>40000</v>
      </c>
      <c r="BB11" s="89"/>
    </row>
    <row r="12" spans="1:54" x14ac:dyDescent="0.3">
      <c r="A12" s="50"/>
      <c r="B12" s="50"/>
      <c r="C12" s="50"/>
      <c r="D12" s="50"/>
      <c r="E12" s="50"/>
      <c r="F12" s="50" t="s">
        <v>81</v>
      </c>
      <c r="G12" s="50"/>
      <c r="H12" s="51">
        <v>0</v>
      </c>
      <c r="I12" s="51">
        <v>0</v>
      </c>
      <c r="J12" s="51">
        <v>0</v>
      </c>
      <c r="K12" s="51">
        <v>0</v>
      </c>
      <c r="L12" s="51">
        <v>0</v>
      </c>
      <c r="M12" s="51">
        <v>934.92</v>
      </c>
      <c r="N12" s="51">
        <v>2181.48</v>
      </c>
      <c r="O12" s="51">
        <v>0</v>
      </c>
      <c r="P12" s="51">
        <v>0</v>
      </c>
      <c r="Q12" s="51">
        <v>0</v>
      </c>
      <c r="R12" s="51">
        <v>2204.91</v>
      </c>
      <c r="S12" s="51">
        <v>4023.37</v>
      </c>
      <c r="T12" s="51"/>
      <c r="U12" s="51">
        <f t="shared" si="0"/>
        <v>9344.68</v>
      </c>
      <c r="V12" s="67">
        <v>4000</v>
      </c>
      <c r="W12" s="67">
        <v>4000</v>
      </c>
      <c r="AB12" s="86"/>
      <c r="AC12" s="86"/>
      <c r="AD12" s="86"/>
      <c r="AE12" s="86"/>
      <c r="AF12" s="86" t="s">
        <v>81</v>
      </c>
      <c r="AG12" s="86"/>
      <c r="AH12" s="87"/>
      <c r="AI12" s="87"/>
      <c r="AJ12" s="87"/>
      <c r="AK12" s="87"/>
      <c r="AL12" s="87">
        <v>0</v>
      </c>
      <c r="AM12" s="87">
        <v>0</v>
      </c>
      <c r="AN12" s="87">
        <v>0</v>
      </c>
      <c r="AO12" s="87">
        <v>0</v>
      </c>
      <c r="AP12" s="87">
        <v>0</v>
      </c>
      <c r="AQ12" s="87">
        <v>0</v>
      </c>
      <c r="AR12" s="87">
        <v>0</v>
      </c>
      <c r="AS12" s="87">
        <v>0</v>
      </c>
      <c r="AT12" s="87">
        <v>0</v>
      </c>
      <c r="AU12" s="87">
        <v>0</v>
      </c>
      <c r="AV12" s="87">
        <v>2208.9</v>
      </c>
      <c r="AW12" s="87">
        <v>946.84</v>
      </c>
      <c r="AX12" s="87"/>
      <c r="AY12" s="88">
        <f t="shared" si="1"/>
        <v>3155.74</v>
      </c>
      <c r="AZ12" s="88">
        <v>7000</v>
      </c>
      <c r="BA12" s="88">
        <v>4000</v>
      </c>
      <c r="BB12" s="89"/>
    </row>
    <row r="13" spans="1:54" x14ac:dyDescent="0.3">
      <c r="A13" s="50"/>
      <c r="B13" s="50"/>
      <c r="C13" s="50"/>
      <c r="D13" s="50"/>
      <c r="E13" s="50"/>
      <c r="F13" s="50" t="s">
        <v>82</v>
      </c>
      <c r="G13" s="50"/>
      <c r="H13" s="51">
        <v>0</v>
      </c>
      <c r="I13" s="51">
        <v>-0.37</v>
      </c>
      <c r="J13" s="51">
        <v>0</v>
      </c>
      <c r="K13" s="51">
        <v>0</v>
      </c>
      <c r="L13" s="51">
        <v>0</v>
      </c>
      <c r="M13" s="51">
        <v>0</v>
      </c>
      <c r="N13" s="51">
        <v>0</v>
      </c>
      <c r="O13" s="51">
        <v>5630.34</v>
      </c>
      <c r="P13" s="51">
        <v>0</v>
      </c>
      <c r="Q13" s="51">
        <v>0</v>
      </c>
      <c r="R13" s="51">
        <v>5460.53</v>
      </c>
      <c r="S13" s="51">
        <v>0</v>
      </c>
      <c r="T13" s="51"/>
      <c r="U13" s="51">
        <f t="shared" si="0"/>
        <v>11090.5</v>
      </c>
      <c r="V13" s="67">
        <v>10500</v>
      </c>
      <c r="W13" s="67">
        <v>10500</v>
      </c>
      <c r="AB13" s="86"/>
      <c r="AC13" s="86"/>
      <c r="AD13" s="86"/>
      <c r="AE13" s="86"/>
      <c r="AF13" s="86" t="s">
        <v>82</v>
      </c>
      <c r="AG13" s="86"/>
      <c r="AH13" s="87"/>
      <c r="AI13" s="87"/>
      <c r="AJ13" s="87"/>
      <c r="AK13" s="87"/>
      <c r="AL13" s="87">
        <v>0</v>
      </c>
      <c r="AM13" s="87">
        <v>0</v>
      </c>
      <c r="AN13" s="87">
        <v>0</v>
      </c>
      <c r="AO13" s="87">
        <v>0</v>
      </c>
      <c r="AP13" s="87">
        <v>0</v>
      </c>
      <c r="AQ13" s="87">
        <v>0</v>
      </c>
      <c r="AR13" s="87">
        <v>5671.54</v>
      </c>
      <c r="AS13" s="87">
        <v>0</v>
      </c>
      <c r="AT13" s="87">
        <v>0</v>
      </c>
      <c r="AU13" s="87">
        <v>0</v>
      </c>
      <c r="AV13" s="87">
        <v>4670.6000000000004</v>
      </c>
      <c r="AW13" s="87">
        <v>143</v>
      </c>
      <c r="AX13" s="87"/>
      <c r="AY13" s="88">
        <f t="shared" si="1"/>
        <v>10485.14</v>
      </c>
      <c r="AZ13" s="88">
        <v>10000</v>
      </c>
      <c r="BA13" s="88">
        <v>10500</v>
      </c>
      <c r="BB13" s="89"/>
    </row>
    <row r="14" spans="1:54" ht="15" thickBot="1" x14ac:dyDescent="0.35">
      <c r="A14" s="50"/>
      <c r="B14" s="50"/>
      <c r="C14" s="50"/>
      <c r="D14" s="50"/>
      <c r="E14" s="50"/>
      <c r="F14" s="50" t="s">
        <v>83</v>
      </c>
      <c r="G14" s="50"/>
      <c r="H14" s="52">
        <v>0</v>
      </c>
      <c r="I14" s="52">
        <v>0</v>
      </c>
      <c r="J14" s="52">
        <v>0</v>
      </c>
      <c r="K14" s="52">
        <v>0</v>
      </c>
      <c r="L14" s="52">
        <v>0</v>
      </c>
      <c r="M14" s="52">
        <v>0</v>
      </c>
      <c r="N14" s="52">
        <v>0</v>
      </c>
      <c r="O14" s="52">
        <v>115.4</v>
      </c>
      <c r="P14" s="52">
        <v>0</v>
      </c>
      <c r="Q14" s="52">
        <v>0</v>
      </c>
      <c r="R14" s="52">
        <v>0</v>
      </c>
      <c r="S14" s="52">
        <v>-115.63</v>
      </c>
      <c r="T14" s="52"/>
      <c r="U14" s="52">
        <f t="shared" si="0"/>
        <v>-0.23</v>
      </c>
      <c r="V14" s="69">
        <v>200</v>
      </c>
      <c r="W14" s="69">
        <v>200</v>
      </c>
      <c r="AB14" s="86"/>
      <c r="AC14" s="86"/>
      <c r="AD14" s="86"/>
      <c r="AE14" s="86" t="s">
        <v>84</v>
      </c>
      <c r="AF14" s="86" t="s">
        <v>83</v>
      </c>
      <c r="AG14" s="86"/>
      <c r="AH14" s="90"/>
      <c r="AI14" s="90"/>
      <c r="AJ14" s="90"/>
      <c r="AK14" s="90"/>
      <c r="AL14" s="90">
        <v>0</v>
      </c>
      <c r="AM14" s="90">
        <v>0</v>
      </c>
      <c r="AN14" s="90">
        <v>0</v>
      </c>
      <c r="AO14" s="90">
        <v>0</v>
      </c>
      <c r="AP14" s="90">
        <v>0</v>
      </c>
      <c r="AQ14" s="90">
        <v>115.4</v>
      </c>
      <c r="AR14" s="90">
        <v>0</v>
      </c>
      <c r="AS14" s="90">
        <v>0</v>
      </c>
      <c r="AT14" s="90">
        <v>0</v>
      </c>
      <c r="AU14" s="90">
        <v>0</v>
      </c>
      <c r="AV14" s="90">
        <v>0</v>
      </c>
      <c r="AW14" s="90">
        <v>0</v>
      </c>
      <c r="AX14" s="90"/>
      <c r="AY14" s="91">
        <f t="shared" si="1"/>
        <v>115.4</v>
      </c>
      <c r="AZ14" s="91">
        <v>200</v>
      </c>
      <c r="BA14" s="91">
        <v>200</v>
      </c>
      <c r="BB14" s="92"/>
    </row>
    <row r="15" spans="1:54" x14ac:dyDescent="0.3">
      <c r="A15" s="50"/>
      <c r="B15" s="50"/>
      <c r="C15" s="50"/>
      <c r="D15" s="50"/>
      <c r="E15" s="50" t="s">
        <v>84</v>
      </c>
      <c r="F15" s="50"/>
      <c r="G15" s="50"/>
      <c r="H15" s="51">
        <f t="shared" ref="H15:P15" si="2">ROUND(SUM(H4:H14),5)</f>
        <v>0</v>
      </c>
      <c r="I15" s="51">
        <f t="shared" si="2"/>
        <v>1801.7</v>
      </c>
      <c r="J15" s="51">
        <f t="shared" si="2"/>
        <v>0</v>
      </c>
      <c r="K15" s="51">
        <f t="shared" si="2"/>
        <v>38750.339999999997</v>
      </c>
      <c r="L15" s="51">
        <f t="shared" si="2"/>
        <v>-1558.69</v>
      </c>
      <c r="M15" s="51">
        <f t="shared" si="2"/>
        <v>257102.02</v>
      </c>
      <c r="N15" s="51">
        <f t="shared" si="2"/>
        <v>170796.06</v>
      </c>
      <c r="O15" s="51">
        <f t="shared" si="2"/>
        <v>14354.16</v>
      </c>
      <c r="P15" s="51">
        <f t="shared" si="2"/>
        <v>5586.23</v>
      </c>
      <c r="Q15" s="51">
        <f>ROUND(SUM(Q4:Q14),5)</f>
        <v>69317.960000000006</v>
      </c>
      <c r="R15" s="51">
        <f>ROUND(SUM(R4:R14),5)</f>
        <v>214146.44</v>
      </c>
      <c r="S15" s="51">
        <f>ROUND(SUM(S4:S14),5)</f>
        <v>69244.740000000005</v>
      </c>
      <c r="T15" s="51"/>
      <c r="U15" s="51">
        <f t="shared" si="0"/>
        <v>839540.96</v>
      </c>
      <c r="V15" s="51">
        <f>ROUND(SUM(V4:V14),5)</f>
        <v>766800</v>
      </c>
      <c r="W15" s="51">
        <f>ROUND(SUM(W4:W14),5)</f>
        <v>766800</v>
      </c>
      <c r="AB15" s="86"/>
      <c r="AC15" s="86"/>
      <c r="AD15" s="86"/>
      <c r="AE15" s="86" t="s">
        <v>85</v>
      </c>
      <c r="AF15" s="86"/>
      <c r="AG15" s="86"/>
      <c r="AH15" s="87"/>
      <c r="AI15" s="87"/>
      <c r="AJ15" s="87"/>
      <c r="AK15" s="87"/>
      <c r="AL15" s="87">
        <f t="shared" ref="AL15:AW15" si="3">ROUND(SUM(AL4:AL14),5)</f>
        <v>-4000.33</v>
      </c>
      <c r="AM15" s="87">
        <f t="shared" si="3"/>
        <v>0</v>
      </c>
      <c r="AN15" s="87">
        <f t="shared" si="3"/>
        <v>0</v>
      </c>
      <c r="AO15" s="87">
        <f t="shared" si="3"/>
        <v>30288.21</v>
      </c>
      <c r="AP15" s="87">
        <f t="shared" si="3"/>
        <v>0</v>
      </c>
      <c r="AQ15" s="87">
        <f t="shared" si="3"/>
        <v>199846.88</v>
      </c>
      <c r="AR15" s="87">
        <f t="shared" si="3"/>
        <v>212947.13</v>
      </c>
      <c r="AS15" s="87">
        <f t="shared" si="3"/>
        <v>3095.51</v>
      </c>
      <c r="AT15" s="87">
        <f t="shared" si="3"/>
        <v>2929.92</v>
      </c>
      <c r="AU15" s="87">
        <f t="shared" si="3"/>
        <v>66007.55</v>
      </c>
      <c r="AV15" s="87">
        <f t="shared" si="3"/>
        <v>200776.27</v>
      </c>
      <c r="AW15" s="87">
        <f t="shared" si="3"/>
        <v>75196.509999999995</v>
      </c>
      <c r="AX15" s="87"/>
      <c r="AY15" s="88">
        <f t="shared" si="1"/>
        <v>787087.65</v>
      </c>
      <c r="AZ15" s="88">
        <f>ROUND(SUM(AZ4:AZ14),5)</f>
        <v>720000</v>
      </c>
      <c r="BA15" s="88">
        <f>ROUND(SUM(BA4:BA14),5)</f>
        <v>766800</v>
      </c>
      <c r="BB15" s="89"/>
    </row>
    <row r="16" spans="1:54" x14ac:dyDescent="0.3">
      <c r="A16" s="50"/>
      <c r="B16" s="50"/>
      <c r="C16" s="50"/>
      <c r="D16" s="50"/>
      <c r="E16" s="50" t="s">
        <v>85</v>
      </c>
      <c r="F16" s="50"/>
      <c r="G16" s="50"/>
      <c r="H16" s="51"/>
      <c r="I16" s="51"/>
      <c r="J16" s="51"/>
      <c r="K16" s="51"/>
      <c r="L16" s="51"/>
      <c r="M16" s="51"/>
      <c r="N16" s="51"/>
      <c r="O16" s="51"/>
      <c r="P16" s="51"/>
      <c r="Q16" s="51"/>
      <c r="R16" s="51"/>
      <c r="S16" s="51"/>
      <c r="T16" s="51"/>
      <c r="U16" s="51"/>
      <c r="V16" s="51"/>
      <c r="W16" s="51"/>
      <c r="AB16" s="86"/>
      <c r="AC16" s="86"/>
      <c r="AD16" s="86"/>
      <c r="AE16" s="86"/>
      <c r="AF16" s="86"/>
      <c r="AG16" s="86"/>
      <c r="AH16" s="87"/>
      <c r="AI16" s="87"/>
      <c r="AJ16" s="87"/>
      <c r="AK16" s="87"/>
      <c r="AL16" s="87"/>
      <c r="AM16" s="87"/>
      <c r="AN16" s="87"/>
      <c r="AO16" s="87"/>
      <c r="AP16" s="87"/>
      <c r="AQ16" s="87"/>
      <c r="AR16" s="87"/>
      <c r="AS16" s="87"/>
      <c r="AT16" s="87"/>
      <c r="AU16" s="87"/>
      <c r="AV16" s="87"/>
      <c r="AW16" s="87"/>
      <c r="AX16" s="87"/>
      <c r="AY16" s="88"/>
      <c r="AZ16" s="88"/>
      <c r="BA16" s="88"/>
      <c r="BB16" s="89"/>
    </row>
    <row r="17" spans="1:54" x14ac:dyDescent="0.3">
      <c r="A17" s="50"/>
      <c r="B17" s="50"/>
      <c r="C17" s="50"/>
      <c r="D17" s="50"/>
      <c r="E17" s="50"/>
      <c r="F17" s="50" t="s">
        <v>86</v>
      </c>
      <c r="G17" s="50"/>
      <c r="H17" s="51">
        <v>518.41</v>
      </c>
      <c r="I17" s="51">
        <v>535.54999999999995</v>
      </c>
      <c r="J17" s="51">
        <v>500.23</v>
      </c>
      <c r="K17" s="51">
        <v>420.94</v>
      </c>
      <c r="L17" s="51">
        <v>405.16</v>
      </c>
      <c r="M17" s="51">
        <v>400.79</v>
      </c>
      <c r="N17" s="51">
        <v>586.54</v>
      </c>
      <c r="O17" s="51">
        <v>488.6</v>
      </c>
      <c r="P17" s="51">
        <v>447.88</v>
      </c>
      <c r="Q17" s="51">
        <v>638.1</v>
      </c>
      <c r="R17" s="51">
        <v>432.36</v>
      </c>
      <c r="S17" s="51">
        <v>432.04</v>
      </c>
      <c r="T17" s="51"/>
      <c r="U17" s="51">
        <f t="shared" ref="U17:U22" si="4">ROUND(SUM(H17:T17),5)</f>
        <v>5806.6</v>
      </c>
      <c r="V17" s="67">
        <v>10000</v>
      </c>
      <c r="W17" s="67">
        <v>5000</v>
      </c>
      <c r="X17" s="68" t="s">
        <v>292</v>
      </c>
      <c r="AB17" s="86"/>
      <c r="AC17" s="86"/>
      <c r="AD17" s="86"/>
      <c r="AE17" s="86"/>
      <c r="AF17" s="86" t="s">
        <v>86</v>
      </c>
      <c r="AG17" s="86"/>
      <c r="AH17" s="87"/>
      <c r="AI17" s="87"/>
      <c r="AJ17" s="87"/>
      <c r="AK17" s="87"/>
      <c r="AL17" s="87">
        <v>603.74</v>
      </c>
      <c r="AM17" s="87">
        <v>636.47</v>
      </c>
      <c r="AN17" s="87">
        <v>550.29999999999995</v>
      </c>
      <c r="AO17" s="87">
        <v>512.91999999999996</v>
      </c>
      <c r="AP17" s="87">
        <v>505.03</v>
      </c>
      <c r="AQ17" s="87">
        <v>452.33</v>
      </c>
      <c r="AR17" s="87">
        <v>7314.37</v>
      </c>
      <c r="AS17" s="87">
        <v>420.5</v>
      </c>
      <c r="AT17" s="87">
        <v>378.15</v>
      </c>
      <c r="AU17" s="87">
        <v>381.98</v>
      </c>
      <c r="AV17" s="87">
        <v>954.87</v>
      </c>
      <c r="AW17" s="87">
        <v>652.66</v>
      </c>
      <c r="AX17" s="87"/>
      <c r="AY17" s="88">
        <f t="shared" ref="AY17:AY22" si="5">ROUND(SUM(AH17:AX17),5)</f>
        <v>13363.32</v>
      </c>
      <c r="AZ17" s="88">
        <v>4000</v>
      </c>
      <c r="BA17" s="88">
        <v>10000</v>
      </c>
      <c r="BB17" s="89" t="s">
        <v>247</v>
      </c>
    </row>
    <row r="18" spans="1:54" x14ac:dyDescent="0.3">
      <c r="A18" s="50"/>
      <c r="B18" s="50"/>
      <c r="C18" s="50"/>
      <c r="D18" s="50"/>
      <c r="E18" s="50"/>
      <c r="F18" s="50" t="s">
        <v>87</v>
      </c>
      <c r="G18" s="50"/>
      <c r="H18" s="51">
        <v>16526.73</v>
      </c>
      <c r="I18" s="51">
        <v>5579.79</v>
      </c>
      <c r="J18" s="51">
        <v>5481.74</v>
      </c>
      <c r="K18" s="51">
        <v>5047.42</v>
      </c>
      <c r="L18" s="51">
        <v>6660.43</v>
      </c>
      <c r="M18" s="51">
        <v>5928.96</v>
      </c>
      <c r="N18" s="51">
        <v>5063.93</v>
      </c>
      <c r="O18" s="51">
        <v>6238.12</v>
      </c>
      <c r="P18" s="51">
        <v>8630.35</v>
      </c>
      <c r="Q18" s="51">
        <v>3905.15</v>
      </c>
      <c r="R18" s="51">
        <v>4787.07</v>
      </c>
      <c r="S18" s="51">
        <v>-4278.67</v>
      </c>
      <c r="T18" s="51"/>
      <c r="U18" s="51">
        <f t="shared" si="4"/>
        <v>69571.02</v>
      </c>
      <c r="V18" s="67">
        <v>50000</v>
      </c>
      <c r="W18" s="67">
        <v>70000</v>
      </c>
      <c r="X18" s="68" t="s">
        <v>293</v>
      </c>
      <c r="AB18" s="86"/>
      <c r="AC18" s="86"/>
      <c r="AD18" s="86"/>
      <c r="AE18" s="86"/>
      <c r="AF18" s="86" t="s">
        <v>87</v>
      </c>
      <c r="AG18" s="86"/>
      <c r="AH18" s="87"/>
      <c r="AI18" s="87"/>
      <c r="AJ18" s="87"/>
      <c r="AK18" s="87"/>
      <c r="AL18" s="87">
        <v>4709.55</v>
      </c>
      <c r="AM18" s="87">
        <v>9565.7900000000009</v>
      </c>
      <c r="AN18" s="87">
        <v>-941.62</v>
      </c>
      <c r="AO18" s="87">
        <v>8144.95</v>
      </c>
      <c r="AP18" s="87">
        <v>6079.05</v>
      </c>
      <c r="AQ18" s="87">
        <v>4930.87</v>
      </c>
      <c r="AR18" s="87">
        <v>4937.05</v>
      </c>
      <c r="AS18" s="87">
        <v>4807.21</v>
      </c>
      <c r="AT18" s="87">
        <v>4995.72</v>
      </c>
      <c r="AU18" s="87">
        <v>6212.36</v>
      </c>
      <c r="AV18" s="87">
        <v>5047.13</v>
      </c>
      <c r="AW18" s="87">
        <v>5522.27</v>
      </c>
      <c r="AX18" s="87"/>
      <c r="AY18" s="88">
        <f t="shared" si="5"/>
        <v>64010.33</v>
      </c>
      <c r="AZ18" s="88">
        <v>40000</v>
      </c>
      <c r="BA18" s="88">
        <v>50000</v>
      </c>
      <c r="BB18" s="89"/>
    </row>
    <row r="19" spans="1:54" x14ac:dyDescent="0.3">
      <c r="A19" s="50"/>
      <c r="B19" s="50"/>
      <c r="C19" s="50"/>
      <c r="D19" s="50"/>
      <c r="E19" s="50"/>
      <c r="F19" s="50" t="s">
        <v>88</v>
      </c>
      <c r="G19" s="50"/>
      <c r="H19" s="51">
        <v>0</v>
      </c>
      <c r="I19" s="51">
        <v>0</v>
      </c>
      <c r="J19" s="51">
        <v>526.76</v>
      </c>
      <c r="K19" s="51">
        <v>95.47</v>
      </c>
      <c r="L19" s="51">
        <v>0</v>
      </c>
      <c r="M19" s="51">
        <v>432.49</v>
      </c>
      <c r="N19" s="51">
        <v>60.53</v>
      </c>
      <c r="O19" s="51">
        <v>0</v>
      </c>
      <c r="P19" s="51">
        <v>579.15</v>
      </c>
      <c r="Q19" s="51">
        <v>0</v>
      </c>
      <c r="R19" s="51">
        <v>0</v>
      </c>
      <c r="S19" s="51">
        <v>0</v>
      </c>
      <c r="T19" s="51"/>
      <c r="U19" s="51">
        <f t="shared" si="4"/>
        <v>1694.4</v>
      </c>
      <c r="V19" s="67">
        <v>10000</v>
      </c>
      <c r="W19" s="67">
        <v>5000</v>
      </c>
      <c r="AB19" s="86"/>
      <c r="AC19" s="86"/>
      <c r="AD19" s="86"/>
      <c r="AE19" s="86"/>
      <c r="AF19" s="86" t="s">
        <v>88</v>
      </c>
      <c r="AG19" s="86"/>
      <c r="AH19" s="87"/>
      <c r="AI19" s="87"/>
      <c r="AJ19" s="87"/>
      <c r="AK19" s="87"/>
      <c r="AL19" s="87">
        <v>0</v>
      </c>
      <c r="AM19" s="87">
        <v>0</v>
      </c>
      <c r="AN19" s="87">
        <v>2382.91</v>
      </c>
      <c r="AO19" s="87">
        <v>164.98</v>
      </c>
      <c r="AP19" s="87">
        <v>0</v>
      </c>
      <c r="AQ19" s="87">
        <v>1779.4</v>
      </c>
      <c r="AR19" s="87">
        <v>208.6</v>
      </c>
      <c r="AS19" s="87">
        <v>0</v>
      </c>
      <c r="AT19" s="87">
        <v>1194.3699999999999</v>
      </c>
      <c r="AU19" s="87">
        <v>83.37</v>
      </c>
      <c r="AV19" s="87">
        <v>0</v>
      </c>
      <c r="AW19" s="87">
        <v>5126.62</v>
      </c>
      <c r="AX19" s="87"/>
      <c r="AY19" s="88">
        <f t="shared" si="5"/>
        <v>10940.25</v>
      </c>
      <c r="AZ19" s="88">
        <v>13000</v>
      </c>
      <c r="BA19" s="88">
        <v>10000</v>
      </c>
      <c r="BB19" s="89" t="s">
        <v>247</v>
      </c>
    </row>
    <row r="20" spans="1:54" x14ac:dyDescent="0.3">
      <c r="A20" s="50"/>
      <c r="B20" s="50"/>
      <c r="C20" s="50"/>
      <c r="D20" s="50"/>
      <c r="E20" s="50"/>
      <c r="F20" s="50" t="s">
        <v>89</v>
      </c>
      <c r="G20" s="50"/>
      <c r="H20" s="51">
        <v>0</v>
      </c>
      <c r="I20" s="51">
        <v>0</v>
      </c>
      <c r="J20" s="51">
        <v>28.45</v>
      </c>
      <c r="K20" s="51">
        <v>5.08</v>
      </c>
      <c r="L20" s="51">
        <v>0</v>
      </c>
      <c r="M20" s="51">
        <v>23.02</v>
      </c>
      <c r="N20" s="51">
        <v>5.04</v>
      </c>
      <c r="O20" s="51">
        <v>0</v>
      </c>
      <c r="P20" s="51">
        <v>48.23</v>
      </c>
      <c r="Q20" s="51">
        <v>0</v>
      </c>
      <c r="R20" s="51">
        <v>0</v>
      </c>
      <c r="S20" s="51">
        <v>-5.49</v>
      </c>
      <c r="T20" s="51"/>
      <c r="U20" s="51">
        <f t="shared" si="4"/>
        <v>104.33</v>
      </c>
      <c r="V20" s="67">
        <v>1000</v>
      </c>
      <c r="W20" s="67">
        <v>100</v>
      </c>
      <c r="AB20" s="86"/>
      <c r="AC20" s="86"/>
      <c r="AD20" s="86"/>
      <c r="AE20" s="86"/>
      <c r="AF20" s="86" t="s">
        <v>89</v>
      </c>
      <c r="AG20" s="86"/>
      <c r="AH20" s="87"/>
      <c r="AI20" s="87"/>
      <c r="AJ20" s="87"/>
      <c r="AK20" s="87"/>
      <c r="AL20" s="87">
        <v>-854</v>
      </c>
      <c r="AM20" s="87">
        <v>0</v>
      </c>
      <c r="AN20" s="87">
        <v>541.74</v>
      </c>
      <c r="AO20" s="87">
        <v>38.130000000000003</v>
      </c>
      <c r="AP20" s="87">
        <v>0</v>
      </c>
      <c r="AQ20" s="87">
        <v>411.31</v>
      </c>
      <c r="AR20" s="87">
        <v>53.48</v>
      </c>
      <c r="AS20" s="87">
        <v>0</v>
      </c>
      <c r="AT20" s="87">
        <v>306.22000000000003</v>
      </c>
      <c r="AU20" s="87">
        <v>19.61</v>
      </c>
      <c r="AV20" s="87">
        <v>0</v>
      </c>
      <c r="AW20" s="87">
        <v>816.59</v>
      </c>
      <c r="AX20" s="87"/>
      <c r="AY20" s="88">
        <f t="shared" si="5"/>
        <v>1333.08</v>
      </c>
      <c r="AZ20" s="88">
        <v>3000</v>
      </c>
      <c r="BA20" s="88">
        <v>1000</v>
      </c>
      <c r="BB20" s="89" t="s">
        <v>247</v>
      </c>
    </row>
    <row r="21" spans="1:54" ht="15" thickBot="1" x14ac:dyDescent="0.35">
      <c r="A21" s="50"/>
      <c r="B21" s="50"/>
      <c r="C21" s="50"/>
      <c r="D21" s="50"/>
      <c r="E21" s="50"/>
      <c r="F21" s="50" t="s">
        <v>90</v>
      </c>
      <c r="G21" s="50"/>
      <c r="H21" s="52">
        <v>0</v>
      </c>
      <c r="I21" s="52">
        <v>0</v>
      </c>
      <c r="J21" s="52">
        <v>1831.67</v>
      </c>
      <c r="K21" s="52">
        <v>323.87</v>
      </c>
      <c r="L21" s="52">
        <v>0</v>
      </c>
      <c r="M21" s="52">
        <v>1467.17</v>
      </c>
      <c r="N21" s="52">
        <v>200.19</v>
      </c>
      <c r="O21" s="52">
        <v>0</v>
      </c>
      <c r="P21" s="52">
        <v>0</v>
      </c>
      <c r="Q21" s="52">
        <v>0</v>
      </c>
      <c r="R21" s="52">
        <v>0</v>
      </c>
      <c r="S21" s="52">
        <v>2276.58</v>
      </c>
      <c r="T21" s="52"/>
      <c r="U21" s="52">
        <f t="shared" si="4"/>
        <v>6099.48</v>
      </c>
      <c r="V21" s="69">
        <v>20000</v>
      </c>
      <c r="W21" s="69">
        <v>10000</v>
      </c>
      <c r="X21" s="68" t="s">
        <v>291</v>
      </c>
      <c r="AB21" s="86"/>
      <c r="AC21" s="86"/>
      <c r="AD21" s="86"/>
      <c r="AE21" s="86" t="s">
        <v>91</v>
      </c>
      <c r="AF21" s="86" t="s">
        <v>90</v>
      </c>
      <c r="AG21" s="86"/>
      <c r="AH21" s="90"/>
      <c r="AI21" s="90"/>
      <c r="AJ21" s="90"/>
      <c r="AK21" s="90"/>
      <c r="AL21" s="90">
        <v>-126</v>
      </c>
      <c r="AM21" s="90">
        <v>0</v>
      </c>
      <c r="AN21" s="90">
        <v>3663.49</v>
      </c>
      <c r="AO21" s="90">
        <v>240.94</v>
      </c>
      <c r="AP21" s="90">
        <v>0</v>
      </c>
      <c r="AQ21" s="90">
        <v>2598.63</v>
      </c>
      <c r="AR21" s="90">
        <v>304.14999999999998</v>
      </c>
      <c r="AS21" s="90">
        <v>0</v>
      </c>
      <c r="AT21" s="90">
        <v>1741.43</v>
      </c>
      <c r="AU21" s="90">
        <v>99.78</v>
      </c>
      <c r="AV21" s="90">
        <v>0</v>
      </c>
      <c r="AW21" s="90">
        <v>6128.28</v>
      </c>
      <c r="AX21" s="90"/>
      <c r="AY21" s="91">
        <f t="shared" si="5"/>
        <v>14650.7</v>
      </c>
      <c r="AZ21" s="91">
        <v>30000</v>
      </c>
      <c r="BA21" s="91">
        <v>20000</v>
      </c>
      <c r="BB21" s="92" t="s">
        <v>247</v>
      </c>
    </row>
    <row r="22" spans="1:54" x14ac:dyDescent="0.3">
      <c r="A22" s="50"/>
      <c r="B22" s="50"/>
      <c r="C22" s="50"/>
      <c r="D22" s="50"/>
      <c r="E22" s="50" t="s">
        <v>91</v>
      </c>
      <c r="F22" s="50"/>
      <c r="G22" s="50"/>
      <c r="H22" s="51">
        <f t="shared" ref="H22:P22" si="6">ROUND(SUM(H16:H21),5)</f>
        <v>17045.14</v>
      </c>
      <c r="I22" s="51">
        <f t="shared" si="6"/>
        <v>6115.34</v>
      </c>
      <c r="J22" s="51">
        <f t="shared" si="6"/>
        <v>8368.85</v>
      </c>
      <c r="K22" s="51">
        <f t="shared" si="6"/>
        <v>5892.78</v>
      </c>
      <c r="L22" s="51">
        <f t="shared" si="6"/>
        <v>7065.59</v>
      </c>
      <c r="M22" s="51">
        <f t="shared" si="6"/>
        <v>8252.43</v>
      </c>
      <c r="N22" s="51">
        <f t="shared" si="6"/>
        <v>5916.23</v>
      </c>
      <c r="O22" s="51">
        <f t="shared" si="6"/>
        <v>6726.72</v>
      </c>
      <c r="P22" s="51">
        <f t="shared" si="6"/>
        <v>9705.61</v>
      </c>
      <c r="Q22" s="51">
        <f>ROUND(SUM(Q16:Q21),5)</f>
        <v>4543.25</v>
      </c>
      <c r="R22" s="51">
        <f>ROUND(SUM(R16:R21),5)</f>
        <v>5219.43</v>
      </c>
      <c r="S22" s="51">
        <f>ROUND(SUM(S16:S21),5)</f>
        <v>-1575.54</v>
      </c>
      <c r="T22" s="51"/>
      <c r="U22" s="51">
        <f t="shared" si="4"/>
        <v>83275.83</v>
      </c>
      <c r="V22" s="51">
        <f>ROUND(SUM(V16:V21),5)</f>
        <v>91000</v>
      </c>
      <c r="W22" s="51">
        <f>ROUND(SUM(W16:W21),5)</f>
        <v>90100</v>
      </c>
      <c r="AB22" s="86"/>
      <c r="AC22" s="86"/>
      <c r="AD22" s="86"/>
      <c r="AE22" s="86" t="s">
        <v>92</v>
      </c>
      <c r="AF22" s="86"/>
      <c r="AG22" s="86"/>
      <c r="AH22" s="87"/>
      <c r="AI22" s="87"/>
      <c r="AJ22" s="87"/>
      <c r="AK22" s="87"/>
      <c r="AL22" s="87">
        <f t="shared" ref="AL22:AW22" si="7">ROUND(SUM(AL16:AL21),5)</f>
        <v>4333.29</v>
      </c>
      <c r="AM22" s="87">
        <f t="shared" si="7"/>
        <v>10202.26</v>
      </c>
      <c r="AN22" s="87">
        <f t="shared" si="7"/>
        <v>6196.82</v>
      </c>
      <c r="AO22" s="87">
        <f t="shared" si="7"/>
        <v>9101.92</v>
      </c>
      <c r="AP22" s="87">
        <f t="shared" si="7"/>
        <v>6584.08</v>
      </c>
      <c r="AQ22" s="87">
        <f t="shared" si="7"/>
        <v>10172.540000000001</v>
      </c>
      <c r="AR22" s="87">
        <f t="shared" si="7"/>
        <v>12817.65</v>
      </c>
      <c r="AS22" s="87">
        <f t="shared" si="7"/>
        <v>5227.71</v>
      </c>
      <c r="AT22" s="87">
        <f t="shared" si="7"/>
        <v>8615.89</v>
      </c>
      <c r="AU22" s="87">
        <f t="shared" si="7"/>
        <v>6797.1</v>
      </c>
      <c r="AV22" s="87">
        <f t="shared" si="7"/>
        <v>6002</v>
      </c>
      <c r="AW22" s="87">
        <f t="shared" si="7"/>
        <v>18246.419999999998</v>
      </c>
      <c r="AX22" s="87"/>
      <c r="AY22" s="88">
        <f t="shared" si="5"/>
        <v>104297.68</v>
      </c>
      <c r="AZ22" s="88">
        <f>ROUND(SUM(AZ16:AZ21),5)</f>
        <v>90000</v>
      </c>
      <c r="BA22" s="88">
        <f>ROUND(SUM(BA16:BA21),5)</f>
        <v>91000</v>
      </c>
      <c r="BB22" s="89"/>
    </row>
    <row r="23" spans="1:54" x14ac:dyDescent="0.3">
      <c r="A23" s="50"/>
      <c r="B23" s="50"/>
      <c r="C23" s="50"/>
      <c r="D23" s="50"/>
      <c r="E23" s="50" t="s">
        <v>92</v>
      </c>
      <c r="F23" s="50"/>
      <c r="G23" s="50"/>
      <c r="H23" s="51"/>
      <c r="I23" s="51"/>
      <c r="J23" s="51"/>
      <c r="K23" s="51"/>
      <c r="L23" s="51"/>
      <c r="M23" s="51"/>
      <c r="N23" s="51"/>
      <c r="O23" s="51"/>
      <c r="P23" s="51"/>
      <c r="Q23" s="51"/>
      <c r="R23" s="51"/>
      <c r="S23" s="51"/>
      <c r="T23" s="51"/>
      <c r="U23" s="51"/>
      <c r="V23" s="51"/>
      <c r="W23" s="51"/>
      <c r="AB23" s="86"/>
      <c r="AC23" s="86"/>
      <c r="AD23" s="86"/>
      <c r="AE23" s="86"/>
      <c r="AF23" s="86"/>
      <c r="AG23" s="86"/>
      <c r="AH23" s="87"/>
      <c r="AI23" s="87"/>
      <c r="AJ23" s="87"/>
      <c r="AK23" s="87"/>
      <c r="AL23" s="87"/>
      <c r="AM23" s="87"/>
      <c r="AN23" s="87"/>
      <c r="AO23" s="87"/>
      <c r="AP23" s="87"/>
      <c r="AQ23" s="87"/>
      <c r="AR23" s="87"/>
      <c r="AS23" s="87"/>
      <c r="AT23" s="87"/>
      <c r="AU23" s="87"/>
      <c r="AV23" s="87"/>
      <c r="AW23" s="87"/>
      <c r="AX23" s="87"/>
      <c r="AY23" s="88"/>
      <c r="AZ23" s="88"/>
      <c r="BA23" s="88"/>
      <c r="BB23" s="89"/>
    </row>
    <row r="24" spans="1:54" x14ac:dyDescent="0.3">
      <c r="A24" s="50"/>
      <c r="B24" s="50"/>
      <c r="C24" s="50"/>
      <c r="D24" s="50"/>
      <c r="E24" s="50"/>
      <c r="F24" s="50" t="s">
        <v>93</v>
      </c>
      <c r="G24" s="50"/>
      <c r="H24" s="51">
        <v>13100</v>
      </c>
      <c r="I24" s="51">
        <v>5230</v>
      </c>
      <c r="J24" s="51">
        <v>30592</v>
      </c>
      <c r="K24" s="51">
        <v>22305</v>
      </c>
      <c r="L24" s="51">
        <v>6000</v>
      </c>
      <c r="M24" s="51">
        <v>8400</v>
      </c>
      <c r="N24" s="51">
        <v>14960</v>
      </c>
      <c r="O24" s="51">
        <v>23490</v>
      </c>
      <c r="P24" s="51">
        <v>22920</v>
      </c>
      <c r="Q24" s="51">
        <v>9150</v>
      </c>
      <c r="R24" s="51">
        <v>7500</v>
      </c>
      <c r="S24" s="51">
        <v>12370.66</v>
      </c>
      <c r="T24" s="51"/>
      <c r="U24" s="51">
        <f t="shared" ref="U24:U35" si="8">ROUND(SUM(H24:T24),5)</f>
        <v>176017.66</v>
      </c>
      <c r="V24" s="67">
        <v>165000</v>
      </c>
      <c r="W24" s="67">
        <v>140000</v>
      </c>
      <c r="AB24" s="86"/>
      <c r="AC24" s="86"/>
      <c r="AD24" s="86"/>
      <c r="AE24" s="86"/>
      <c r="AF24" s="86" t="s">
        <v>93</v>
      </c>
      <c r="AG24" s="86"/>
      <c r="AH24" s="87"/>
      <c r="AI24" s="87"/>
      <c r="AJ24" s="87"/>
      <c r="AK24" s="87"/>
      <c r="AL24" s="87">
        <v>8225</v>
      </c>
      <c r="AM24" s="87">
        <v>10866.67</v>
      </c>
      <c r="AN24" s="87">
        <v>9500</v>
      </c>
      <c r="AO24" s="87">
        <v>25066.67</v>
      </c>
      <c r="AP24" s="87">
        <v>7800</v>
      </c>
      <c r="AQ24" s="87">
        <v>20950</v>
      </c>
      <c r="AR24" s="87">
        <v>19000</v>
      </c>
      <c r="AS24" s="87">
        <v>24450</v>
      </c>
      <c r="AT24" s="87">
        <v>22500</v>
      </c>
      <c r="AU24" s="87">
        <v>12325</v>
      </c>
      <c r="AV24" s="87">
        <v>5000</v>
      </c>
      <c r="AW24" s="87">
        <v>10643</v>
      </c>
      <c r="AX24" s="87"/>
      <c r="AY24" s="88">
        <f t="shared" ref="AY24:AY35" si="9">ROUND(SUM(AH24:AX24),5)</f>
        <v>176326.34</v>
      </c>
      <c r="AZ24" s="88">
        <v>120000</v>
      </c>
      <c r="BA24" s="88">
        <v>165000</v>
      </c>
      <c r="BB24" s="89" t="s">
        <v>247</v>
      </c>
    </row>
    <row r="25" spans="1:54" x14ac:dyDescent="0.3">
      <c r="A25" s="50"/>
      <c r="B25" s="50"/>
      <c r="C25" s="50"/>
      <c r="D25" s="50"/>
      <c r="E25" s="50"/>
      <c r="F25" s="50" t="s">
        <v>94</v>
      </c>
      <c r="G25" s="50"/>
      <c r="H25" s="51">
        <v>3300</v>
      </c>
      <c r="I25" s="51">
        <v>500</v>
      </c>
      <c r="J25" s="51">
        <v>3000</v>
      </c>
      <c r="K25" s="51">
        <v>1250</v>
      </c>
      <c r="L25" s="51">
        <v>1250</v>
      </c>
      <c r="M25" s="51">
        <v>1500</v>
      </c>
      <c r="N25" s="51">
        <v>1700</v>
      </c>
      <c r="O25" s="51">
        <v>1750</v>
      </c>
      <c r="P25" s="51">
        <v>1860</v>
      </c>
      <c r="Q25" s="51">
        <v>1800</v>
      </c>
      <c r="R25" s="51">
        <v>1500</v>
      </c>
      <c r="S25" s="51">
        <v>1650</v>
      </c>
      <c r="T25" s="51"/>
      <c r="U25" s="51">
        <f t="shared" si="8"/>
        <v>21060</v>
      </c>
      <c r="V25" s="67">
        <v>18000</v>
      </c>
      <c r="W25" s="67">
        <v>18000</v>
      </c>
      <c r="AB25" s="86"/>
      <c r="AC25" s="86"/>
      <c r="AD25" s="86"/>
      <c r="AE25" s="86"/>
      <c r="AF25" s="86" t="s">
        <v>94</v>
      </c>
      <c r="AG25" s="86"/>
      <c r="AH25" s="87"/>
      <c r="AI25" s="87"/>
      <c r="AJ25" s="87"/>
      <c r="AK25" s="87"/>
      <c r="AL25" s="87">
        <v>1200</v>
      </c>
      <c r="AM25" s="87">
        <v>1410</v>
      </c>
      <c r="AN25" s="87">
        <v>1250</v>
      </c>
      <c r="AO25" s="87">
        <v>2500</v>
      </c>
      <c r="AP25" s="87">
        <v>500</v>
      </c>
      <c r="AQ25" s="87">
        <v>2000</v>
      </c>
      <c r="AR25" s="87">
        <v>1250</v>
      </c>
      <c r="AS25" s="87">
        <v>1910</v>
      </c>
      <c r="AT25" s="87">
        <v>2500</v>
      </c>
      <c r="AU25" s="87">
        <v>1450</v>
      </c>
      <c r="AV25" s="87">
        <v>1250</v>
      </c>
      <c r="AW25" s="87">
        <v>750</v>
      </c>
      <c r="AX25" s="87"/>
      <c r="AY25" s="88">
        <f t="shared" si="9"/>
        <v>17970</v>
      </c>
      <c r="AZ25" s="88">
        <v>12000</v>
      </c>
      <c r="BA25" s="88">
        <v>18000</v>
      </c>
      <c r="BB25" s="89"/>
    </row>
    <row r="26" spans="1:54" x14ac:dyDescent="0.3">
      <c r="A26" s="50"/>
      <c r="B26" s="50"/>
      <c r="C26" s="50"/>
      <c r="D26" s="50"/>
      <c r="E26" s="50"/>
      <c r="F26" s="50" t="s">
        <v>230</v>
      </c>
      <c r="G26" s="50"/>
      <c r="H26" s="51">
        <v>0</v>
      </c>
      <c r="I26" s="51">
        <v>230</v>
      </c>
      <c r="J26" s="51">
        <v>892</v>
      </c>
      <c r="K26" s="51">
        <v>690</v>
      </c>
      <c r="L26" s="51">
        <v>0</v>
      </c>
      <c r="M26" s="51">
        <v>460</v>
      </c>
      <c r="N26" s="51">
        <v>460</v>
      </c>
      <c r="O26" s="51">
        <v>690</v>
      </c>
      <c r="P26" s="51">
        <v>920</v>
      </c>
      <c r="Q26" s="51">
        <v>230</v>
      </c>
      <c r="R26" s="51">
        <v>0</v>
      </c>
      <c r="S26" s="51">
        <v>455</v>
      </c>
      <c r="T26" s="51"/>
      <c r="U26" s="51">
        <f t="shared" si="8"/>
        <v>5027</v>
      </c>
      <c r="V26" s="67">
        <v>3000</v>
      </c>
      <c r="W26" s="67">
        <v>2500</v>
      </c>
      <c r="AB26" s="86"/>
      <c r="AC26" s="86"/>
      <c r="AD26" s="86"/>
      <c r="AE26" s="86"/>
      <c r="AF26" s="86" t="s">
        <v>230</v>
      </c>
      <c r="AG26" s="86"/>
      <c r="AH26" s="87"/>
      <c r="AI26" s="87"/>
      <c r="AJ26" s="87"/>
      <c r="AK26" s="87"/>
      <c r="AL26" s="87">
        <v>0</v>
      </c>
      <c r="AM26" s="87">
        <v>0</v>
      </c>
      <c r="AN26" s="87">
        <v>0</v>
      </c>
      <c r="AO26" s="87">
        <v>0</v>
      </c>
      <c r="AP26" s="87">
        <v>0</v>
      </c>
      <c r="AQ26" s="87">
        <v>450</v>
      </c>
      <c r="AR26" s="87">
        <v>0</v>
      </c>
      <c r="AS26" s="87">
        <v>450</v>
      </c>
      <c r="AT26" s="87">
        <v>0</v>
      </c>
      <c r="AU26" s="87">
        <v>225</v>
      </c>
      <c r="AV26" s="87">
        <v>0</v>
      </c>
      <c r="AW26" s="87">
        <v>0</v>
      </c>
      <c r="AX26" s="87"/>
      <c r="AY26" s="88">
        <f t="shared" si="9"/>
        <v>1125</v>
      </c>
      <c r="AZ26" s="88">
        <v>0</v>
      </c>
      <c r="BA26" s="88">
        <v>3000</v>
      </c>
      <c r="BB26" s="89"/>
    </row>
    <row r="27" spans="1:54" x14ac:dyDescent="0.3">
      <c r="A27" s="50"/>
      <c r="B27" s="50"/>
      <c r="C27" s="50"/>
      <c r="D27" s="50"/>
      <c r="E27" s="50"/>
      <c r="F27" s="50" t="s">
        <v>95</v>
      </c>
      <c r="G27" s="50"/>
      <c r="H27" s="51">
        <v>3750</v>
      </c>
      <c r="I27" s="51">
        <v>1950</v>
      </c>
      <c r="J27" s="51">
        <v>8750</v>
      </c>
      <c r="K27" s="51">
        <v>4300</v>
      </c>
      <c r="L27" s="51">
        <v>1800</v>
      </c>
      <c r="M27" s="51">
        <v>4700</v>
      </c>
      <c r="N27" s="51">
        <v>5300</v>
      </c>
      <c r="O27" s="51">
        <v>3600</v>
      </c>
      <c r="P27" s="51">
        <v>7600</v>
      </c>
      <c r="Q27" s="51">
        <v>6250</v>
      </c>
      <c r="R27" s="51">
        <v>2050</v>
      </c>
      <c r="S27" s="51">
        <v>6100</v>
      </c>
      <c r="T27" s="51"/>
      <c r="U27" s="51">
        <f t="shared" si="8"/>
        <v>56150</v>
      </c>
      <c r="V27" s="67">
        <v>47000</v>
      </c>
      <c r="W27" s="67">
        <v>30000</v>
      </c>
      <c r="AB27" s="86"/>
      <c r="AC27" s="86"/>
      <c r="AD27" s="86"/>
      <c r="AE27" s="86"/>
      <c r="AF27" s="86" t="s">
        <v>95</v>
      </c>
      <c r="AG27" s="86"/>
      <c r="AH27" s="87"/>
      <c r="AI27" s="87"/>
      <c r="AJ27" s="87"/>
      <c r="AK27" s="87"/>
      <c r="AL27" s="87">
        <v>3650</v>
      </c>
      <c r="AM27" s="87">
        <v>3250</v>
      </c>
      <c r="AN27" s="87">
        <v>2800</v>
      </c>
      <c r="AO27" s="87">
        <v>6100</v>
      </c>
      <c r="AP27" s="87">
        <v>100</v>
      </c>
      <c r="AQ27" s="87">
        <v>4900</v>
      </c>
      <c r="AR27" s="87">
        <v>3500</v>
      </c>
      <c r="AS27" s="87">
        <v>7650</v>
      </c>
      <c r="AT27" s="87">
        <v>8000</v>
      </c>
      <c r="AU27" s="87">
        <v>3700</v>
      </c>
      <c r="AV27" s="87">
        <v>5150</v>
      </c>
      <c r="AW27" s="87">
        <v>2550</v>
      </c>
      <c r="AX27" s="87"/>
      <c r="AY27" s="88">
        <f t="shared" si="9"/>
        <v>51350</v>
      </c>
      <c r="AZ27" s="88">
        <v>30000</v>
      </c>
      <c r="BA27" s="88">
        <v>47000</v>
      </c>
      <c r="BB27" s="89"/>
    </row>
    <row r="28" spans="1:54" x14ac:dyDescent="0.3">
      <c r="A28" s="50"/>
      <c r="B28" s="50"/>
      <c r="C28" s="50"/>
      <c r="D28" s="50"/>
      <c r="E28" s="50"/>
      <c r="F28" s="50" t="s">
        <v>96</v>
      </c>
      <c r="G28" s="50"/>
      <c r="H28" s="51">
        <v>20500</v>
      </c>
      <c r="I28" s="51">
        <v>3770</v>
      </c>
      <c r="J28" s="51">
        <v>21408</v>
      </c>
      <c r="K28" s="51">
        <v>-505</v>
      </c>
      <c r="L28" s="51">
        <v>10500</v>
      </c>
      <c r="M28" s="51">
        <v>6000</v>
      </c>
      <c r="N28" s="51">
        <v>10690</v>
      </c>
      <c r="O28" s="51">
        <v>-990</v>
      </c>
      <c r="P28" s="51">
        <v>13230</v>
      </c>
      <c r="Q28" s="51">
        <v>4000</v>
      </c>
      <c r="R28" s="51">
        <v>5800</v>
      </c>
      <c r="S28" s="51">
        <v>9282</v>
      </c>
      <c r="T28" s="51"/>
      <c r="U28" s="51">
        <f t="shared" si="8"/>
        <v>103685</v>
      </c>
      <c r="V28" s="67">
        <v>70000</v>
      </c>
      <c r="W28" s="67">
        <v>55000</v>
      </c>
      <c r="AB28" s="86"/>
      <c r="AC28" s="86"/>
      <c r="AD28" s="86"/>
      <c r="AE28" s="86"/>
      <c r="AF28" s="86" t="s">
        <v>96</v>
      </c>
      <c r="AG28" s="86"/>
      <c r="AH28" s="87"/>
      <c r="AI28" s="87"/>
      <c r="AJ28" s="87"/>
      <c r="AK28" s="87"/>
      <c r="AL28" s="87">
        <v>2500</v>
      </c>
      <c r="AM28" s="87">
        <v>6083.33</v>
      </c>
      <c r="AN28" s="87">
        <v>16450</v>
      </c>
      <c r="AO28" s="87">
        <v>17583.330000000002</v>
      </c>
      <c r="AP28" s="87">
        <v>0</v>
      </c>
      <c r="AQ28" s="87">
        <v>3050</v>
      </c>
      <c r="AR28" s="87">
        <v>4000</v>
      </c>
      <c r="AS28" s="87">
        <v>9050</v>
      </c>
      <c r="AT28" s="87">
        <v>16650</v>
      </c>
      <c r="AU28" s="87">
        <v>2675</v>
      </c>
      <c r="AV28" s="87">
        <v>1725</v>
      </c>
      <c r="AW28" s="87">
        <v>5357</v>
      </c>
      <c r="AX28" s="87"/>
      <c r="AY28" s="88">
        <f t="shared" si="9"/>
        <v>85123.66</v>
      </c>
      <c r="AZ28" s="88">
        <v>67000</v>
      </c>
      <c r="BA28" s="88">
        <v>70000</v>
      </c>
      <c r="BB28" s="89"/>
    </row>
    <row r="29" spans="1:54" x14ac:dyDescent="0.3">
      <c r="A29" s="50"/>
      <c r="B29" s="50"/>
      <c r="C29" s="50"/>
      <c r="D29" s="50"/>
      <c r="E29" s="50"/>
      <c r="F29" s="50" t="s">
        <v>97</v>
      </c>
      <c r="G29" s="50"/>
      <c r="H29" s="51">
        <v>1100</v>
      </c>
      <c r="I29" s="51">
        <v>0</v>
      </c>
      <c r="J29" s="51">
        <v>4300</v>
      </c>
      <c r="K29" s="51">
        <v>7900</v>
      </c>
      <c r="L29" s="51">
        <v>0</v>
      </c>
      <c r="M29" s="51">
        <v>5400</v>
      </c>
      <c r="N29" s="51">
        <v>3600</v>
      </c>
      <c r="O29" s="51">
        <v>5200</v>
      </c>
      <c r="P29" s="51">
        <v>3600</v>
      </c>
      <c r="Q29" s="51">
        <v>2900</v>
      </c>
      <c r="R29" s="51">
        <v>0</v>
      </c>
      <c r="S29" s="51">
        <v>2700</v>
      </c>
      <c r="T29" s="51"/>
      <c r="U29" s="51">
        <f t="shared" si="8"/>
        <v>36700</v>
      </c>
      <c r="V29" s="67">
        <v>17000</v>
      </c>
      <c r="W29" s="67">
        <v>15000</v>
      </c>
      <c r="AB29" s="86"/>
      <c r="AC29" s="86"/>
      <c r="AD29" s="86"/>
      <c r="AE29" s="86"/>
      <c r="AF29" s="86" t="s">
        <v>97</v>
      </c>
      <c r="AG29" s="86"/>
      <c r="AH29" s="87"/>
      <c r="AI29" s="87"/>
      <c r="AJ29" s="87"/>
      <c r="AK29" s="87"/>
      <c r="AL29" s="87">
        <v>1500</v>
      </c>
      <c r="AM29" s="87">
        <v>0</v>
      </c>
      <c r="AN29" s="87">
        <v>1600</v>
      </c>
      <c r="AO29" s="87">
        <v>0</v>
      </c>
      <c r="AP29" s="87">
        <v>3000</v>
      </c>
      <c r="AQ29" s="87">
        <v>3100</v>
      </c>
      <c r="AR29" s="87">
        <v>0</v>
      </c>
      <c r="AS29" s="87">
        <v>3300</v>
      </c>
      <c r="AT29" s="87">
        <v>1500</v>
      </c>
      <c r="AU29" s="87">
        <v>3100</v>
      </c>
      <c r="AV29" s="87">
        <v>0</v>
      </c>
      <c r="AW29" s="87">
        <v>1500</v>
      </c>
      <c r="AX29" s="87"/>
      <c r="AY29" s="88">
        <f t="shared" si="9"/>
        <v>18600</v>
      </c>
      <c r="AZ29" s="88">
        <v>27000</v>
      </c>
      <c r="BA29" s="88">
        <v>17000</v>
      </c>
      <c r="BB29" s="89"/>
    </row>
    <row r="30" spans="1:54" x14ac:dyDescent="0.3">
      <c r="A30" s="50"/>
      <c r="B30" s="50"/>
      <c r="C30" s="50"/>
      <c r="D30" s="50"/>
      <c r="E30" s="50"/>
      <c r="F30" s="50" t="s">
        <v>198</v>
      </c>
      <c r="G30" s="50"/>
      <c r="H30" s="51">
        <v>0</v>
      </c>
      <c r="I30" s="51">
        <v>0</v>
      </c>
      <c r="J30" s="51">
        <v>0</v>
      </c>
      <c r="K30" s="51">
        <v>0</v>
      </c>
      <c r="L30" s="51">
        <v>0</v>
      </c>
      <c r="M30" s="51">
        <v>0</v>
      </c>
      <c r="N30" s="51">
        <v>0</v>
      </c>
      <c r="O30" s="51">
        <v>0</v>
      </c>
      <c r="P30" s="51">
        <v>0</v>
      </c>
      <c r="Q30" s="51">
        <v>300</v>
      </c>
      <c r="R30" s="51">
        <v>0</v>
      </c>
      <c r="S30" s="51">
        <v>0</v>
      </c>
      <c r="T30" s="51"/>
      <c r="U30" s="51">
        <f t="shared" si="8"/>
        <v>300</v>
      </c>
      <c r="V30" s="67">
        <v>300</v>
      </c>
      <c r="W30" s="67">
        <v>300</v>
      </c>
      <c r="AB30" s="86"/>
      <c r="AC30" s="86"/>
      <c r="AD30" s="86"/>
      <c r="AE30" s="86"/>
      <c r="AF30" s="86" t="s">
        <v>198</v>
      </c>
      <c r="AG30" s="86"/>
      <c r="AH30" s="87"/>
      <c r="AI30" s="87"/>
      <c r="AJ30" s="87"/>
      <c r="AK30" s="87"/>
      <c r="AL30" s="87">
        <v>0</v>
      </c>
      <c r="AM30" s="87">
        <v>0</v>
      </c>
      <c r="AN30" s="87">
        <v>0</v>
      </c>
      <c r="AO30" s="87">
        <v>0</v>
      </c>
      <c r="AP30" s="87">
        <v>300</v>
      </c>
      <c r="AQ30" s="87">
        <v>0</v>
      </c>
      <c r="AR30" s="87">
        <v>0</v>
      </c>
      <c r="AS30" s="87">
        <v>0</v>
      </c>
      <c r="AT30" s="87">
        <v>0</v>
      </c>
      <c r="AU30" s="87">
        <v>0</v>
      </c>
      <c r="AV30" s="87">
        <v>0</v>
      </c>
      <c r="AW30" s="87">
        <v>0</v>
      </c>
      <c r="AX30" s="87"/>
      <c r="AY30" s="88">
        <f t="shared" si="9"/>
        <v>300</v>
      </c>
      <c r="AZ30" s="88">
        <v>300</v>
      </c>
      <c r="BA30" s="88">
        <v>300</v>
      </c>
      <c r="BB30" s="89"/>
    </row>
    <row r="31" spans="1:54" ht="13.8" customHeight="1" x14ac:dyDescent="0.3">
      <c r="A31" s="50"/>
      <c r="B31" s="50"/>
      <c r="C31" s="50"/>
      <c r="D31" s="50"/>
      <c r="E31" s="50"/>
      <c r="F31" s="50" t="s">
        <v>231</v>
      </c>
      <c r="G31" s="50"/>
      <c r="H31" s="51">
        <v>1000</v>
      </c>
      <c r="I31" s="51">
        <v>500</v>
      </c>
      <c r="J31" s="51">
        <v>6500</v>
      </c>
      <c r="K31" s="51">
        <v>3000</v>
      </c>
      <c r="L31" s="51">
        <v>1000</v>
      </c>
      <c r="M31" s="51">
        <v>3000</v>
      </c>
      <c r="N31" s="51">
        <v>3500</v>
      </c>
      <c r="O31" s="51">
        <v>4000</v>
      </c>
      <c r="P31" s="51">
        <v>5000</v>
      </c>
      <c r="Q31" s="51">
        <v>4000</v>
      </c>
      <c r="R31" s="51">
        <v>0</v>
      </c>
      <c r="S31" s="51">
        <v>500</v>
      </c>
      <c r="T31" s="51"/>
      <c r="U31" s="51">
        <f t="shared" si="8"/>
        <v>32000</v>
      </c>
      <c r="V31" s="67">
        <v>6500</v>
      </c>
      <c r="W31" s="67">
        <v>7000</v>
      </c>
      <c r="AB31" s="86"/>
      <c r="AC31" s="86"/>
      <c r="AD31" s="86"/>
      <c r="AE31" s="86"/>
      <c r="AF31" s="86" t="s">
        <v>231</v>
      </c>
      <c r="AG31" s="86"/>
      <c r="AH31" s="87"/>
      <c r="AI31" s="87"/>
      <c r="AJ31" s="87"/>
      <c r="AK31" s="87"/>
      <c r="AL31" s="87">
        <v>0</v>
      </c>
      <c r="AM31" s="87">
        <v>0</v>
      </c>
      <c r="AN31" s="87">
        <v>0</v>
      </c>
      <c r="AO31" s="87">
        <v>-500</v>
      </c>
      <c r="AP31" s="87">
        <v>500</v>
      </c>
      <c r="AQ31" s="87">
        <v>2000</v>
      </c>
      <c r="AR31" s="87">
        <v>1500</v>
      </c>
      <c r="AS31" s="87">
        <v>0</v>
      </c>
      <c r="AT31" s="87">
        <v>0</v>
      </c>
      <c r="AU31" s="87">
        <v>0</v>
      </c>
      <c r="AV31" s="87">
        <v>0</v>
      </c>
      <c r="AW31" s="87">
        <v>0</v>
      </c>
      <c r="AX31" s="87"/>
      <c r="AY31" s="88">
        <f t="shared" si="9"/>
        <v>3500</v>
      </c>
      <c r="AZ31" s="88">
        <v>0</v>
      </c>
      <c r="BA31" s="88">
        <v>6500</v>
      </c>
      <c r="BB31" s="89" t="s">
        <v>257</v>
      </c>
    </row>
    <row r="32" spans="1:54" x14ac:dyDescent="0.3">
      <c r="A32" s="50"/>
      <c r="B32" s="50"/>
      <c r="C32" s="50"/>
      <c r="D32" s="50"/>
      <c r="E32" s="50"/>
      <c r="F32" s="50" t="s">
        <v>98</v>
      </c>
      <c r="G32" s="50"/>
      <c r="H32" s="51">
        <v>1480</v>
      </c>
      <c r="I32" s="51">
        <v>980</v>
      </c>
      <c r="J32" s="51">
        <v>2360</v>
      </c>
      <c r="K32" s="51">
        <v>1965</v>
      </c>
      <c r="L32" s="51">
        <v>375</v>
      </c>
      <c r="M32" s="51">
        <v>2855</v>
      </c>
      <c r="N32" s="51">
        <v>1860</v>
      </c>
      <c r="O32" s="51">
        <v>880</v>
      </c>
      <c r="P32" s="51">
        <v>4003</v>
      </c>
      <c r="Q32" s="51">
        <v>2025</v>
      </c>
      <c r="R32" s="51">
        <v>400</v>
      </c>
      <c r="S32" s="51">
        <v>1680</v>
      </c>
      <c r="T32" s="51"/>
      <c r="U32" s="51">
        <f t="shared" si="8"/>
        <v>20863</v>
      </c>
      <c r="V32" s="67">
        <v>16000</v>
      </c>
      <c r="W32" s="67">
        <v>16000</v>
      </c>
      <c r="AB32" s="86"/>
      <c r="AC32" s="86"/>
      <c r="AD32" s="86"/>
      <c r="AE32" s="86"/>
      <c r="AF32" s="86" t="s">
        <v>98</v>
      </c>
      <c r="AG32" s="86"/>
      <c r="AH32" s="87"/>
      <c r="AI32" s="87"/>
      <c r="AJ32" s="87"/>
      <c r="AK32" s="87"/>
      <c r="AL32" s="87">
        <v>1750</v>
      </c>
      <c r="AM32" s="87">
        <v>950</v>
      </c>
      <c r="AN32" s="87">
        <v>785</v>
      </c>
      <c r="AO32" s="87">
        <v>1550</v>
      </c>
      <c r="AP32" s="87">
        <v>500</v>
      </c>
      <c r="AQ32" s="87">
        <v>1320</v>
      </c>
      <c r="AR32" s="87">
        <v>1330</v>
      </c>
      <c r="AS32" s="87">
        <v>4113.1499999999996</v>
      </c>
      <c r="AT32" s="87">
        <v>2765</v>
      </c>
      <c r="AU32" s="87">
        <v>985</v>
      </c>
      <c r="AV32" s="87">
        <v>3010</v>
      </c>
      <c r="AW32" s="87">
        <v>300</v>
      </c>
      <c r="AX32" s="87"/>
      <c r="AY32" s="88">
        <f t="shared" si="9"/>
        <v>19358.150000000001</v>
      </c>
      <c r="AZ32" s="88">
        <v>12000</v>
      </c>
      <c r="BA32" s="88">
        <v>16000</v>
      </c>
      <c r="BB32" s="89"/>
    </row>
    <row r="33" spans="1:54" ht="15" thickBot="1" x14ac:dyDescent="0.35">
      <c r="A33" s="50"/>
      <c r="B33" s="50"/>
      <c r="C33" s="50"/>
      <c r="D33" s="50"/>
      <c r="E33" s="50"/>
      <c r="F33" s="50" t="s">
        <v>99</v>
      </c>
      <c r="G33" s="50"/>
      <c r="H33" s="51">
        <v>0</v>
      </c>
      <c r="I33" s="51">
        <v>0</v>
      </c>
      <c r="J33" s="51">
        <v>88.5</v>
      </c>
      <c r="K33" s="51">
        <v>15</v>
      </c>
      <c r="L33" s="51">
        <v>0</v>
      </c>
      <c r="M33" s="51">
        <v>0</v>
      </c>
      <c r="N33" s="51">
        <v>0</v>
      </c>
      <c r="O33" s="51">
        <v>0</v>
      </c>
      <c r="P33" s="51">
        <v>0</v>
      </c>
      <c r="Q33" s="51">
        <v>0</v>
      </c>
      <c r="R33" s="51">
        <v>0</v>
      </c>
      <c r="S33" s="51">
        <v>0</v>
      </c>
      <c r="T33" s="51"/>
      <c r="U33" s="51">
        <f t="shared" si="8"/>
        <v>103.5</v>
      </c>
      <c r="V33" s="67">
        <v>400</v>
      </c>
      <c r="W33" s="67">
        <v>400</v>
      </c>
      <c r="AB33" s="86"/>
      <c r="AC33" s="86"/>
      <c r="AD33" s="86"/>
      <c r="AE33" s="86" t="s">
        <v>100</v>
      </c>
      <c r="AF33" s="86" t="s">
        <v>99</v>
      </c>
      <c r="AG33" s="86"/>
      <c r="AH33" s="87"/>
      <c r="AI33" s="87"/>
      <c r="AJ33" s="87"/>
      <c r="AK33" s="87"/>
      <c r="AL33" s="87">
        <v>0</v>
      </c>
      <c r="AM33" s="87">
        <v>0</v>
      </c>
      <c r="AN33" s="87">
        <v>0</v>
      </c>
      <c r="AO33" s="87">
        <v>0</v>
      </c>
      <c r="AP33" s="87">
        <v>0</v>
      </c>
      <c r="AQ33" s="87">
        <v>0</v>
      </c>
      <c r="AR33" s="87">
        <v>0</v>
      </c>
      <c r="AS33" s="87">
        <v>0</v>
      </c>
      <c r="AT33" s="87">
        <v>0</v>
      </c>
      <c r="AU33" s="87">
        <v>0</v>
      </c>
      <c r="AV33" s="87">
        <v>25</v>
      </c>
      <c r="AW33" s="87">
        <v>145.41999999999999</v>
      </c>
      <c r="AX33" s="87"/>
      <c r="AY33" s="88">
        <f t="shared" si="9"/>
        <v>170.42</v>
      </c>
      <c r="AZ33" s="88">
        <v>500</v>
      </c>
      <c r="BA33" s="88">
        <v>400</v>
      </c>
      <c r="BB33" s="89"/>
    </row>
    <row r="34" spans="1:54" ht="15" thickBot="1" x14ac:dyDescent="0.35">
      <c r="A34" s="50"/>
      <c r="B34" s="50"/>
      <c r="C34" s="50"/>
      <c r="D34" s="50"/>
      <c r="E34" s="50" t="s">
        <v>100</v>
      </c>
      <c r="F34" s="50"/>
      <c r="G34" s="50"/>
      <c r="H34" s="53">
        <f t="shared" ref="H34:P34" si="10">ROUND(SUM(H23:H33),5)</f>
        <v>44230</v>
      </c>
      <c r="I34" s="53">
        <f t="shared" si="10"/>
        <v>13160</v>
      </c>
      <c r="J34" s="53">
        <f t="shared" si="10"/>
        <v>77890.5</v>
      </c>
      <c r="K34" s="53">
        <f t="shared" si="10"/>
        <v>40920</v>
      </c>
      <c r="L34" s="53">
        <f t="shared" si="10"/>
        <v>20925</v>
      </c>
      <c r="M34" s="53">
        <f t="shared" si="10"/>
        <v>32315</v>
      </c>
      <c r="N34" s="53">
        <f t="shared" si="10"/>
        <v>42070</v>
      </c>
      <c r="O34" s="53">
        <f t="shared" si="10"/>
        <v>38620</v>
      </c>
      <c r="P34" s="53">
        <f t="shared" si="10"/>
        <v>59133</v>
      </c>
      <c r="Q34" s="53">
        <f>ROUND(SUM(Q23:Q33),5)</f>
        <v>30655</v>
      </c>
      <c r="R34" s="53">
        <f>ROUND(SUM(R23:R33),5)</f>
        <v>17250</v>
      </c>
      <c r="S34" s="53">
        <f>ROUND(SUM(S23:S33),5)</f>
        <v>34737.660000000003</v>
      </c>
      <c r="T34" s="53"/>
      <c r="U34" s="53">
        <f t="shared" si="8"/>
        <v>451906.16</v>
      </c>
      <c r="V34" s="53">
        <f>ROUND(SUM(V23:V33),5)</f>
        <v>343200</v>
      </c>
      <c r="W34" s="53">
        <f>ROUND(SUM(W23:W33),5)</f>
        <v>284200</v>
      </c>
      <c r="AB34" s="86"/>
      <c r="AC34" s="86"/>
      <c r="AD34" s="86" t="s">
        <v>3</v>
      </c>
      <c r="AE34" s="86"/>
      <c r="AF34" s="86"/>
      <c r="AG34" s="86"/>
      <c r="AH34" s="93"/>
      <c r="AI34" s="93"/>
      <c r="AJ34" s="93"/>
      <c r="AK34" s="93"/>
      <c r="AL34" s="93">
        <f t="shared" ref="AL34:AW34" si="11">ROUND(SUM(AL23:AL33),5)</f>
        <v>18825</v>
      </c>
      <c r="AM34" s="93">
        <f t="shared" si="11"/>
        <v>22560</v>
      </c>
      <c r="AN34" s="93">
        <f t="shared" si="11"/>
        <v>32385</v>
      </c>
      <c r="AO34" s="93">
        <f t="shared" si="11"/>
        <v>52300</v>
      </c>
      <c r="AP34" s="93">
        <f t="shared" si="11"/>
        <v>12700</v>
      </c>
      <c r="AQ34" s="93">
        <f t="shared" si="11"/>
        <v>37770</v>
      </c>
      <c r="AR34" s="93">
        <f t="shared" si="11"/>
        <v>30580</v>
      </c>
      <c r="AS34" s="93">
        <f t="shared" si="11"/>
        <v>50923.15</v>
      </c>
      <c r="AT34" s="93">
        <f t="shared" si="11"/>
        <v>53915</v>
      </c>
      <c r="AU34" s="93">
        <f t="shared" si="11"/>
        <v>24460</v>
      </c>
      <c r="AV34" s="93">
        <f t="shared" si="11"/>
        <v>16160</v>
      </c>
      <c r="AW34" s="93">
        <f t="shared" si="11"/>
        <v>21245.42</v>
      </c>
      <c r="AX34" s="93"/>
      <c r="AY34" s="94">
        <f t="shared" si="9"/>
        <v>373823.57</v>
      </c>
      <c r="AZ34" s="94">
        <f>ROUND(SUM(AZ23:AZ33),5)</f>
        <v>268800</v>
      </c>
      <c r="BA34" s="94">
        <f>ROUND(SUM(BA23:BA33),5)</f>
        <v>343200</v>
      </c>
      <c r="BB34" s="95"/>
    </row>
    <row r="35" spans="1:54" x14ac:dyDescent="0.3">
      <c r="A35" s="50"/>
      <c r="B35" s="50"/>
      <c r="C35" s="50"/>
      <c r="D35" s="50" t="s">
        <v>3</v>
      </c>
      <c r="E35" s="50"/>
      <c r="F35" s="50"/>
      <c r="G35" s="50"/>
      <c r="H35" s="51">
        <f t="shared" ref="H35:P35" si="12">ROUND(H3+H15+H22+H34,5)</f>
        <v>61275.14</v>
      </c>
      <c r="I35" s="51">
        <f t="shared" si="12"/>
        <v>21077.040000000001</v>
      </c>
      <c r="J35" s="51">
        <f t="shared" si="12"/>
        <v>86259.35</v>
      </c>
      <c r="K35" s="51">
        <f t="shared" si="12"/>
        <v>85563.12</v>
      </c>
      <c r="L35" s="51">
        <f t="shared" si="12"/>
        <v>26431.9</v>
      </c>
      <c r="M35" s="51">
        <f t="shared" si="12"/>
        <v>297669.45</v>
      </c>
      <c r="N35" s="51">
        <f t="shared" si="12"/>
        <v>218782.29</v>
      </c>
      <c r="O35" s="51">
        <f t="shared" si="12"/>
        <v>59700.88</v>
      </c>
      <c r="P35" s="51">
        <f t="shared" si="12"/>
        <v>74424.84</v>
      </c>
      <c r="Q35" s="51">
        <f>ROUND(Q3+Q15+Q22+Q34,5)</f>
        <v>104516.21</v>
      </c>
      <c r="R35" s="51">
        <f>ROUND(R3+R15+R22+R34,5)</f>
        <v>236615.87</v>
      </c>
      <c r="S35" s="51">
        <f>ROUND(S3+S15+S22+S34,5)</f>
        <v>102406.86</v>
      </c>
      <c r="T35" s="51"/>
      <c r="U35" s="51">
        <f t="shared" si="8"/>
        <v>1374722.95</v>
      </c>
      <c r="V35" s="51">
        <f>ROUND(V3+V15+V22+V34,5)</f>
        <v>1201000</v>
      </c>
      <c r="W35" s="51">
        <f>ROUND(W3+W15+W22+W34,5)</f>
        <v>1141100</v>
      </c>
      <c r="AB35" s="86"/>
      <c r="AC35" s="86"/>
      <c r="AD35" s="86" t="s">
        <v>101</v>
      </c>
      <c r="AE35" s="86"/>
      <c r="AF35" s="86"/>
      <c r="AG35" s="86"/>
      <c r="AH35" s="87"/>
      <c r="AI35" s="87"/>
      <c r="AJ35" s="87"/>
      <c r="AK35" s="87"/>
      <c r="AL35" s="87">
        <f t="shared" ref="AL35:AW35" si="13">ROUND(AL3+AL15+AL22+AL34,5)</f>
        <v>19157.96</v>
      </c>
      <c r="AM35" s="87">
        <f t="shared" si="13"/>
        <v>32762.26</v>
      </c>
      <c r="AN35" s="87">
        <f t="shared" si="13"/>
        <v>38581.82</v>
      </c>
      <c r="AO35" s="87">
        <f t="shared" si="13"/>
        <v>91690.13</v>
      </c>
      <c r="AP35" s="87">
        <f t="shared" si="13"/>
        <v>19284.080000000002</v>
      </c>
      <c r="AQ35" s="87">
        <f t="shared" si="13"/>
        <v>247789.42</v>
      </c>
      <c r="AR35" s="87">
        <f t="shared" si="13"/>
        <v>256344.78</v>
      </c>
      <c r="AS35" s="87">
        <f t="shared" si="13"/>
        <v>59246.37</v>
      </c>
      <c r="AT35" s="87">
        <f t="shared" si="13"/>
        <v>65460.81</v>
      </c>
      <c r="AU35" s="87">
        <f t="shared" si="13"/>
        <v>97264.65</v>
      </c>
      <c r="AV35" s="87">
        <f t="shared" si="13"/>
        <v>222938.27</v>
      </c>
      <c r="AW35" s="87">
        <f t="shared" si="13"/>
        <v>114688.35</v>
      </c>
      <c r="AX35" s="87"/>
      <c r="AY35" s="88">
        <f t="shared" si="9"/>
        <v>1265208.8999999999</v>
      </c>
      <c r="AZ35" s="88">
        <f>ROUND(AZ3+AZ15+AZ22+AZ34,5)</f>
        <v>1078800</v>
      </c>
      <c r="BA35" s="88">
        <f>ROUND(BA3+BA15+BA22+BA34,5)</f>
        <v>1201000</v>
      </c>
      <c r="BB35" s="89"/>
    </row>
    <row r="36" spans="1:54" hidden="1" x14ac:dyDescent="0.3">
      <c r="A36" s="50"/>
      <c r="B36" s="50"/>
      <c r="C36" s="50"/>
      <c r="D36" s="50" t="s">
        <v>101</v>
      </c>
      <c r="E36" s="50"/>
      <c r="F36" s="50"/>
      <c r="G36" s="50"/>
      <c r="H36" s="51"/>
      <c r="I36" s="51"/>
      <c r="J36" s="51"/>
      <c r="K36" s="51"/>
      <c r="L36" s="51"/>
      <c r="M36" s="51"/>
      <c r="N36" s="51"/>
      <c r="O36" s="51"/>
      <c r="P36" s="51"/>
      <c r="Q36" s="51"/>
      <c r="R36" s="51"/>
      <c r="S36" s="51"/>
      <c r="T36" s="51"/>
      <c r="U36" s="51"/>
      <c r="V36" s="51"/>
      <c r="W36" s="51"/>
      <c r="AB36" s="86"/>
      <c r="AC36" s="86"/>
      <c r="AD36" s="86"/>
      <c r="AE36" s="86" t="s">
        <v>102</v>
      </c>
      <c r="AF36" s="86"/>
      <c r="AG36" s="86"/>
      <c r="AH36" s="87"/>
      <c r="AI36" s="87"/>
      <c r="AJ36" s="87"/>
      <c r="AK36" s="87"/>
      <c r="AL36" s="87"/>
      <c r="AM36" s="87"/>
      <c r="AN36" s="87"/>
      <c r="AO36" s="87"/>
      <c r="AP36" s="87"/>
      <c r="AQ36" s="87"/>
      <c r="AR36" s="87"/>
      <c r="AS36" s="87"/>
      <c r="AT36" s="87"/>
      <c r="AU36" s="87"/>
      <c r="AV36" s="87"/>
      <c r="AW36" s="87"/>
      <c r="AX36" s="87"/>
      <c r="AY36" s="88"/>
      <c r="AZ36" s="88"/>
      <c r="BA36" s="88"/>
      <c r="BB36" s="89"/>
    </row>
    <row r="37" spans="1:54" hidden="1" x14ac:dyDescent="0.3">
      <c r="A37" s="50"/>
      <c r="B37" s="50"/>
      <c r="C37" s="50"/>
      <c r="D37" s="50"/>
      <c r="E37" s="50" t="s">
        <v>102</v>
      </c>
      <c r="F37" s="50"/>
      <c r="G37" s="50"/>
      <c r="H37" s="51">
        <v>0</v>
      </c>
      <c r="I37" s="51">
        <v>0</v>
      </c>
      <c r="J37" s="51">
        <v>0</v>
      </c>
      <c r="K37" s="51">
        <v>0</v>
      </c>
      <c r="L37" s="51">
        <v>0</v>
      </c>
      <c r="M37" s="51">
        <v>0</v>
      </c>
      <c r="N37" s="51">
        <v>0</v>
      </c>
      <c r="O37" s="51">
        <v>0</v>
      </c>
      <c r="P37" s="51">
        <v>0</v>
      </c>
      <c r="Q37" s="51">
        <v>0</v>
      </c>
      <c r="R37" s="51">
        <v>0</v>
      </c>
      <c r="S37" s="51">
        <v>0</v>
      </c>
      <c r="T37" s="51"/>
      <c r="U37" s="51">
        <f>ROUND(SUM(H37:T37),5)</f>
        <v>0</v>
      </c>
      <c r="V37" s="51">
        <v>0</v>
      </c>
      <c r="W37" s="51">
        <v>0</v>
      </c>
      <c r="AB37" s="86"/>
      <c r="AC37" s="86"/>
      <c r="AD37" s="86" t="s">
        <v>103</v>
      </c>
      <c r="AE37" s="86"/>
      <c r="AF37" s="86"/>
      <c r="AG37" s="86"/>
      <c r="AH37" s="87"/>
      <c r="AI37" s="87"/>
      <c r="AJ37" s="87"/>
      <c r="AK37" s="87"/>
      <c r="AL37" s="87">
        <v>0</v>
      </c>
      <c r="AM37" s="87">
        <v>0</v>
      </c>
      <c r="AN37" s="87">
        <v>0</v>
      </c>
      <c r="AO37" s="87">
        <v>0</v>
      </c>
      <c r="AP37" s="87">
        <v>0</v>
      </c>
      <c r="AQ37" s="87">
        <v>0</v>
      </c>
      <c r="AR37" s="87">
        <v>0</v>
      </c>
      <c r="AS37" s="87">
        <v>0</v>
      </c>
      <c r="AT37" s="87">
        <v>0</v>
      </c>
      <c r="AU37" s="87">
        <v>0</v>
      </c>
      <c r="AV37" s="87">
        <v>0</v>
      </c>
      <c r="AW37" s="87">
        <v>0</v>
      </c>
      <c r="AX37" s="87"/>
      <c r="AY37" s="88">
        <f>ROUND(SUM(AH37:AX37),5)</f>
        <v>0</v>
      </c>
      <c r="AZ37" s="88">
        <v>0</v>
      </c>
      <c r="BA37" s="88">
        <v>0</v>
      </c>
      <c r="BB37" s="89"/>
    </row>
    <row r="38" spans="1:54" ht="15" hidden="1" thickBot="1" x14ac:dyDescent="0.35">
      <c r="A38" s="50"/>
      <c r="B38" s="50"/>
      <c r="C38" s="50"/>
      <c r="D38" s="50" t="s">
        <v>103</v>
      </c>
      <c r="E38" s="50"/>
      <c r="F38" s="50"/>
      <c r="G38" s="50"/>
      <c r="H38" s="53">
        <f t="shared" ref="H38:P38" si="14">ROUND(SUM(H36:H37),5)</f>
        <v>0</v>
      </c>
      <c r="I38" s="53">
        <f t="shared" si="14"/>
        <v>0</v>
      </c>
      <c r="J38" s="53">
        <f t="shared" si="14"/>
        <v>0</v>
      </c>
      <c r="K38" s="53">
        <f t="shared" si="14"/>
        <v>0</v>
      </c>
      <c r="L38" s="53">
        <f t="shared" si="14"/>
        <v>0</v>
      </c>
      <c r="M38" s="53">
        <f t="shared" si="14"/>
        <v>0</v>
      </c>
      <c r="N38" s="53">
        <f t="shared" si="14"/>
        <v>0</v>
      </c>
      <c r="O38" s="53">
        <f t="shared" si="14"/>
        <v>0</v>
      </c>
      <c r="P38" s="53">
        <f t="shared" si="14"/>
        <v>0</v>
      </c>
      <c r="Q38" s="53">
        <f>ROUND(SUM(Q36:Q37),5)</f>
        <v>0</v>
      </c>
      <c r="R38" s="53">
        <f>ROUND(SUM(R36:R37),5)</f>
        <v>0</v>
      </c>
      <c r="S38" s="53">
        <f>ROUND(SUM(S36:S37),5)</f>
        <v>0</v>
      </c>
      <c r="T38" s="53"/>
      <c r="U38" s="53">
        <f>ROUND(SUM(H38:T38),5)</f>
        <v>0</v>
      </c>
      <c r="V38" s="53">
        <f>ROUND(SUM(V36:V37),5)</f>
        <v>0</v>
      </c>
      <c r="W38" s="53">
        <f>ROUND(SUM(W36:W37),5)</f>
        <v>0</v>
      </c>
      <c r="AB38" s="86"/>
      <c r="AC38" s="86" t="s">
        <v>104</v>
      </c>
      <c r="AD38" s="86"/>
      <c r="AE38" s="86"/>
      <c r="AF38" s="86"/>
      <c r="AG38" s="86"/>
      <c r="AH38" s="93"/>
      <c r="AI38" s="93"/>
      <c r="AJ38" s="93"/>
      <c r="AK38" s="93"/>
      <c r="AL38" s="93">
        <f t="shared" ref="AL38:AW38" si="15">ROUND(SUM(AL36:AL37),5)</f>
        <v>0</v>
      </c>
      <c r="AM38" s="93">
        <f t="shared" si="15"/>
        <v>0</v>
      </c>
      <c r="AN38" s="93">
        <f t="shared" si="15"/>
        <v>0</v>
      </c>
      <c r="AO38" s="93">
        <f t="shared" si="15"/>
        <v>0</v>
      </c>
      <c r="AP38" s="93">
        <f t="shared" si="15"/>
        <v>0</v>
      </c>
      <c r="AQ38" s="93">
        <f t="shared" si="15"/>
        <v>0</v>
      </c>
      <c r="AR38" s="93">
        <f t="shared" si="15"/>
        <v>0</v>
      </c>
      <c r="AS38" s="93">
        <f t="shared" si="15"/>
        <v>0</v>
      </c>
      <c r="AT38" s="93">
        <f t="shared" si="15"/>
        <v>0</v>
      </c>
      <c r="AU38" s="93">
        <f t="shared" si="15"/>
        <v>0</v>
      </c>
      <c r="AV38" s="93">
        <f t="shared" si="15"/>
        <v>0</v>
      </c>
      <c r="AW38" s="93">
        <f t="shared" si="15"/>
        <v>0</v>
      </c>
      <c r="AX38" s="93"/>
      <c r="AY38" s="94">
        <f>ROUND(SUM(AH38:AX38),5)</f>
        <v>0</v>
      </c>
      <c r="AZ38" s="94">
        <f>ROUND(SUM(AZ36:AZ37),5)</f>
        <v>0</v>
      </c>
      <c r="BA38" s="94">
        <f>ROUND(SUM(BA36:BA37),5)</f>
        <v>0</v>
      </c>
      <c r="BB38" s="95"/>
    </row>
    <row r="39" spans="1:54" hidden="1" x14ac:dyDescent="0.3">
      <c r="A39" s="50"/>
      <c r="B39" s="50"/>
      <c r="C39" s="50" t="s">
        <v>104</v>
      </c>
      <c r="D39" s="50"/>
      <c r="E39" s="50"/>
      <c r="F39" s="50"/>
      <c r="G39" s="50"/>
      <c r="H39" s="51">
        <f t="shared" ref="H39:P39" si="16">ROUND(H35-H38,5)</f>
        <v>61275.14</v>
      </c>
      <c r="I39" s="51">
        <f t="shared" si="16"/>
        <v>21077.040000000001</v>
      </c>
      <c r="J39" s="51">
        <f t="shared" si="16"/>
        <v>86259.35</v>
      </c>
      <c r="K39" s="51">
        <f t="shared" si="16"/>
        <v>85563.12</v>
      </c>
      <c r="L39" s="51">
        <f t="shared" si="16"/>
        <v>26431.9</v>
      </c>
      <c r="M39" s="51">
        <f t="shared" si="16"/>
        <v>297669.45</v>
      </c>
      <c r="N39" s="51">
        <f t="shared" si="16"/>
        <v>218782.29</v>
      </c>
      <c r="O39" s="51">
        <f t="shared" si="16"/>
        <v>59700.88</v>
      </c>
      <c r="P39" s="51">
        <f t="shared" si="16"/>
        <v>74424.84</v>
      </c>
      <c r="Q39" s="51">
        <f>ROUND(Q35-Q38,5)</f>
        <v>104516.21</v>
      </c>
      <c r="R39" s="51">
        <f>ROUND(R35-R38,5)</f>
        <v>236615.87</v>
      </c>
      <c r="S39" s="51">
        <f>ROUND(S35-S38,5)</f>
        <v>102406.86</v>
      </c>
      <c r="T39" s="51"/>
      <c r="U39" s="51">
        <f>ROUND(SUM(H39:T39),5)</f>
        <v>1374722.95</v>
      </c>
      <c r="V39" s="51">
        <f>ROUND(V35-V38,5)</f>
        <v>1201000</v>
      </c>
      <c r="W39" s="51">
        <f>ROUND(W35-W38,5)</f>
        <v>1141100</v>
      </c>
      <c r="AB39" s="86"/>
      <c r="AC39" s="86"/>
      <c r="AD39" s="86" t="s">
        <v>4</v>
      </c>
      <c r="AE39" s="86"/>
      <c r="AF39" s="86"/>
      <c r="AG39" s="86"/>
      <c r="AH39" s="87"/>
      <c r="AI39" s="87"/>
      <c r="AJ39" s="87"/>
      <c r="AK39" s="87"/>
      <c r="AL39" s="87">
        <f t="shared" ref="AL39:AW39" si="17">ROUND(AL35-AL38,5)</f>
        <v>19157.96</v>
      </c>
      <c r="AM39" s="87">
        <f t="shared" si="17"/>
        <v>32762.26</v>
      </c>
      <c r="AN39" s="87">
        <f t="shared" si="17"/>
        <v>38581.82</v>
      </c>
      <c r="AO39" s="87">
        <f t="shared" si="17"/>
        <v>91690.13</v>
      </c>
      <c r="AP39" s="87">
        <f t="shared" si="17"/>
        <v>19284.080000000002</v>
      </c>
      <c r="AQ39" s="87">
        <f t="shared" si="17"/>
        <v>247789.42</v>
      </c>
      <c r="AR39" s="87">
        <f t="shared" si="17"/>
        <v>256344.78</v>
      </c>
      <c r="AS39" s="87">
        <f t="shared" si="17"/>
        <v>59246.37</v>
      </c>
      <c r="AT39" s="87">
        <f t="shared" si="17"/>
        <v>65460.81</v>
      </c>
      <c r="AU39" s="87">
        <f t="shared" si="17"/>
        <v>97264.65</v>
      </c>
      <c r="AV39" s="87">
        <f t="shared" si="17"/>
        <v>222938.27</v>
      </c>
      <c r="AW39" s="87">
        <f t="shared" si="17"/>
        <v>114688.35</v>
      </c>
      <c r="AX39" s="87"/>
      <c r="AY39" s="88">
        <f>ROUND(SUM(AH39:AX39),5)</f>
        <v>1265208.8999999999</v>
      </c>
      <c r="AZ39" s="88">
        <f>ROUND(AZ35-AZ38,5)</f>
        <v>1078800</v>
      </c>
      <c r="BA39" s="88">
        <f>ROUND(BA35-BA38,5)</f>
        <v>1201000</v>
      </c>
      <c r="BB39" s="89"/>
    </row>
    <row r="40" spans="1:54" x14ac:dyDescent="0.3">
      <c r="A40" s="50"/>
      <c r="B40" s="50"/>
      <c r="C40" s="50"/>
      <c r="D40" s="50" t="s">
        <v>4</v>
      </c>
      <c r="E40" s="50"/>
      <c r="F40" s="50"/>
      <c r="G40" s="50"/>
      <c r="H40" s="51"/>
      <c r="I40" s="51"/>
      <c r="J40" s="51"/>
      <c r="K40" s="51"/>
      <c r="L40" s="51"/>
      <c r="M40" s="51"/>
      <c r="N40" s="51"/>
      <c r="O40" s="51"/>
      <c r="P40" s="51"/>
      <c r="Q40" s="51"/>
      <c r="R40" s="51"/>
      <c r="S40" s="51"/>
      <c r="T40" s="51"/>
      <c r="U40" s="51"/>
      <c r="V40" s="51"/>
      <c r="W40" s="51"/>
      <c r="AB40" s="86"/>
      <c r="AC40" s="86"/>
      <c r="AD40" s="86"/>
      <c r="AE40" s="86" t="s">
        <v>105</v>
      </c>
      <c r="AF40" s="86"/>
      <c r="AG40" s="86"/>
      <c r="AH40" s="87"/>
      <c r="AI40" s="87"/>
      <c r="AJ40" s="87"/>
      <c r="AK40" s="87"/>
      <c r="AL40" s="87"/>
      <c r="AM40" s="87"/>
      <c r="AN40" s="87"/>
      <c r="AO40" s="87"/>
      <c r="AP40" s="87"/>
      <c r="AQ40" s="87"/>
      <c r="AR40" s="87"/>
      <c r="AS40" s="87"/>
      <c r="AT40" s="87"/>
      <c r="AU40" s="87"/>
      <c r="AV40" s="87"/>
      <c r="AW40" s="87"/>
      <c r="AX40" s="87"/>
      <c r="AY40" s="88"/>
      <c r="AZ40" s="88"/>
      <c r="BA40" s="88"/>
      <c r="BB40" s="89"/>
    </row>
    <row r="41" spans="1:54" x14ac:dyDescent="0.3">
      <c r="A41" s="50"/>
      <c r="B41" s="50"/>
      <c r="C41" s="50"/>
      <c r="D41" s="50"/>
      <c r="E41" s="50" t="s">
        <v>105</v>
      </c>
      <c r="F41" s="50"/>
      <c r="G41" s="50"/>
      <c r="H41" s="51"/>
      <c r="I41" s="51"/>
      <c r="J41" s="51"/>
      <c r="K41" s="51"/>
      <c r="L41" s="51"/>
      <c r="M41" s="51"/>
      <c r="N41" s="51"/>
      <c r="O41" s="51"/>
      <c r="P41" s="51"/>
      <c r="Q41" s="51"/>
      <c r="R41" s="51"/>
      <c r="S41" s="51"/>
      <c r="T41" s="51"/>
      <c r="U41" s="51"/>
      <c r="V41" s="51"/>
      <c r="W41" s="51"/>
      <c r="AB41" s="86"/>
      <c r="AC41" s="86"/>
      <c r="AD41" s="86"/>
      <c r="AE41" s="86"/>
      <c r="AF41" s="86"/>
      <c r="AG41" s="86"/>
      <c r="AH41" s="87"/>
      <c r="AI41" s="87"/>
      <c r="AJ41" s="87"/>
      <c r="AK41" s="87"/>
      <c r="AL41" s="87"/>
      <c r="AM41" s="87"/>
      <c r="AN41" s="87"/>
      <c r="AO41" s="87"/>
      <c r="AP41" s="87"/>
      <c r="AQ41" s="87"/>
      <c r="AR41" s="87"/>
      <c r="AS41" s="87"/>
      <c r="AT41" s="87"/>
      <c r="AU41" s="87"/>
      <c r="AV41" s="87"/>
      <c r="AW41" s="87"/>
      <c r="AX41" s="87"/>
      <c r="AY41" s="88"/>
      <c r="AZ41" s="88"/>
      <c r="BA41" s="88"/>
      <c r="BB41" s="89"/>
    </row>
    <row r="42" spans="1:54" x14ac:dyDescent="0.3">
      <c r="A42" s="50"/>
      <c r="B42" s="50"/>
      <c r="C42" s="50"/>
      <c r="D42" s="50"/>
      <c r="E42" s="50"/>
      <c r="F42" s="50" t="s">
        <v>106</v>
      </c>
      <c r="G42" s="50"/>
      <c r="H42" s="51"/>
      <c r="I42" s="51"/>
      <c r="J42" s="51"/>
      <c r="K42" s="51"/>
      <c r="L42" s="51"/>
      <c r="M42" s="51"/>
      <c r="N42" s="51"/>
      <c r="O42" s="51"/>
      <c r="P42" s="51"/>
      <c r="Q42" s="51"/>
      <c r="R42" s="51"/>
      <c r="S42" s="51"/>
      <c r="T42" s="51"/>
      <c r="U42" s="51"/>
      <c r="V42" s="51"/>
      <c r="W42" s="51"/>
      <c r="AB42" s="86"/>
      <c r="AC42" s="86"/>
      <c r="AD42" s="86"/>
      <c r="AE42" s="86"/>
      <c r="AF42" s="86" t="s">
        <v>106</v>
      </c>
      <c r="AG42" s="86"/>
      <c r="AH42" s="87"/>
      <c r="AI42" s="87"/>
      <c r="AJ42" s="87"/>
      <c r="AK42" s="87"/>
      <c r="AL42" s="87"/>
      <c r="AM42" s="87"/>
      <c r="AN42" s="87"/>
      <c r="AO42" s="87"/>
      <c r="AP42" s="87"/>
      <c r="AQ42" s="87"/>
      <c r="AR42" s="87"/>
      <c r="AS42" s="87"/>
      <c r="AT42" s="87"/>
      <c r="AU42" s="87"/>
      <c r="AV42" s="87"/>
      <c r="AW42" s="87"/>
      <c r="AX42" s="87"/>
      <c r="AY42" s="88"/>
      <c r="AZ42" s="88"/>
      <c r="BA42" s="88"/>
      <c r="BB42" s="89"/>
    </row>
    <row r="43" spans="1:54" x14ac:dyDescent="0.3">
      <c r="A43" s="50"/>
      <c r="B43" s="50"/>
      <c r="C43" s="50"/>
      <c r="D43" s="50"/>
      <c r="E43" s="50"/>
      <c r="F43" s="50"/>
      <c r="G43" s="50" t="s">
        <v>107</v>
      </c>
      <c r="H43" s="51">
        <v>8772.68</v>
      </c>
      <c r="I43" s="51">
        <v>17294.16</v>
      </c>
      <c r="J43" s="51">
        <v>20600.22</v>
      </c>
      <c r="K43" s="51">
        <v>22987.7</v>
      </c>
      <c r="L43" s="51">
        <v>15845.14</v>
      </c>
      <c r="M43" s="51">
        <v>18074.96</v>
      </c>
      <c r="N43" s="51">
        <v>35615.51</v>
      </c>
      <c r="O43" s="51">
        <v>18384.71</v>
      </c>
      <c r="P43" s="51">
        <v>18295.900000000001</v>
      </c>
      <c r="Q43" s="51">
        <v>27577.57</v>
      </c>
      <c r="R43" s="51">
        <v>16843.310000000001</v>
      </c>
      <c r="S43" s="51">
        <v>21987.85</v>
      </c>
      <c r="T43" s="51"/>
      <c r="U43" s="51">
        <f>ROUND(SUM(H43:T43),5)</f>
        <v>242279.71</v>
      </c>
      <c r="V43" s="67">
        <v>281000</v>
      </c>
      <c r="W43" s="67">
        <v>304000</v>
      </c>
      <c r="X43" s="68" t="s">
        <v>207</v>
      </c>
      <c r="AB43" s="86"/>
      <c r="AC43" s="86"/>
      <c r="AD43" s="86"/>
      <c r="AE43" s="86"/>
      <c r="AF43" s="86"/>
      <c r="AG43" s="86" t="s">
        <v>107</v>
      </c>
      <c r="AH43" s="87"/>
      <c r="AI43" s="87"/>
      <c r="AJ43" s="87"/>
      <c r="AK43" s="87"/>
      <c r="AL43" s="87">
        <v>8942.48</v>
      </c>
      <c r="AM43" s="87">
        <v>16476.650000000001</v>
      </c>
      <c r="AN43" s="87">
        <v>17665.79</v>
      </c>
      <c r="AO43" s="87">
        <v>27986.11</v>
      </c>
      <c r="AP43" s="87">
        <v>14362.23</v>
      </c>
      <c r="AQ43" s="87">
        <v>14423.56</v>
      </c>
      <c r="AR43" s="87">
        <v>24698.48</v>
      </c>
      <c r="AS43" s="87">
        <v>16746.79</v>
      </c>
      <c r="AT43" s="87">
        <v>16868.52</v>
      </c>
      <c r="AU43" s="87">
        <v>25401.13</v>
      </c>
      <c r="AV43" s="87">
        <v>26898.32</v>
      </c>
      <c r="AW43" s="87">
        <v>21343.49</v>
      </c>
      <c r="AX43" s="87"/>
      <c r="AY43" s="88">
        <f t="shared" ref="AY43:AY50" si="18">ROUND(SUM(AH43:AX43),5)</f>
        <v>231813.55</v>
      </c>
      <c r="AZ43" s="88">
        <v>235000</v>
      </c>
      <c r="BA43" s="88">
        <v>281000</v>
      </c>
      <c r="BB43" s="89" t="s">
        <v>207</v>
      </c>
    </row>
    <row r="44" spans="1:54" x14ac:dyDescent="0.3">
      <c r="A44" s="50"/>
      <c r="B44" s="50"/>
      <c r="C44" s="50"/>
      <c r="D44" s="50"/>
      <c r="E44" s="50"/>
      <c r="F44" s="50"/>
      <c r="G44" s="50" t="s">
        <v>108</v>
      </c>
      <c r="H44" s="51">
        <v>0</v>
      </c>
      <c r="I44" s="51">
        <v>0</v>
      </c>
      <c r="J44" s="51">
        <v>0</v>
      </c>
      <c r="K44" s="51">
        <v>0</v>
      </c>
      <c r="L44" s="51">
        <v>0</v>
      </c>
      <c r="M44" s="51">
        <v>6280.13</v>
      </c>
      <c r="N44" s="51">
        <v>0</v>
      </c>
      <c r="O44" s="51">
        <v>0</v>
      </c>
      <c r="P44" s="51">
        <v>0</v>
      </c>
      <c r="Q44" s="51">
        <v>0</v>
      </c>
      <c r="R44" s="51">
        <v>0</v>
      </c>
      <c r="S44" s="51">
        <v>0</v>
      </c>
      <c r="T44" s="51"/>
      <c r="U44" s="51">
        <f>ROUND(SUM(H44:T44),5)</f>
        <v>6280.13</v>
      </c>
      <c r="V44" s="67">
        <v>5000</v>
      </c>
      <c r="W44" s="67">
        <v>6500</v>
      </c>
      <c r="X44" s="68" t="s">
        <v>207</v>
      </c>
      <c r="AB44" s="86"/>
      <c r="AC44" s="86"/>
      <c r="AD44" s="86"/>
      <c r="AE44" s="86"/>
      <c r="AF44" s="86"/>
      <c r="AG44" s="86" t="s">
        <v>212</v>
      </c>
      <c r="AH44" s="87"/>
      <c r="AI44" s="87"/>
      <c r="AJ44" s="87"/>
      <c r="AK44" s="87"/>
      <c r="AL44" s="87">
        <v>0</v>
      </c>
      <c r="AM44" s="87">
        <v>0</v>
      </c>
      <c r="AN44" s="87">
        <v>0</v>
      </c>
      <c r="AO44" s="87">
        <v>0</v>
      </c>
      <c r="AP44" s="87">
        <v>0</v>
      </c>
      <c r="AQ44" s="87">
        <v>0</v>
      </c>
      <c r="AR44" s="87">
        <v>0</v>
      </c>
      <c r="AS44" s="87">
        <v>0</v>
      </c>
      <c r="AT44" s="87">
        <v>0</v>
      </c>
      <c r="AU44" s="87">
        <v>0</v>
      </c>
      <c r="AV44" s="87">
        <v>0</v>
      </c>
      <c r="AW44" s="87">
        <v>0</v>
      </c>
      <c r="AX44" s="87"/>
      <c r="AY44" s="88">
        <f t="shared" si="18"/>
        <v>0</v>
      </c>
      <c r="AZ44" s="88">
        <v>43680</v>
      </c>
      <c r="BA44" s="88">
        <v>43680</v>
      </c>
      <c r="BB44" s="89" t="s">
        <v>245</v>
      </c>
    </row>
    <row r="45" spans="1:54" x14ac:dyDescent="0.3">
      <c r="A45" s="50"/>
      <c r="B45" s="50"/>
      <c r="C45" s="50"/>
      <c r="D45" s="50"/>
      <c r="E45" s="50"/>
      <c r="F45" s="50"/>
      <c r="G45" s="50" t="s">
        <v>276</v>
      </c>
      <c r="H45" s="51">
        <v>0</v>
      </c>
      <c r="I45" s="51">
        <v>0</v>
      </c>
      <c r="J45" s="51">
        <v>0</v>
      </c>
      <c r="K45" s="51">
        <v>0</v>
      </c>
      <c r="L45" s="51">
        <v>0</v>
      </c>
      <c r="M45" s="51">
        <v>0</v>
      </c>
      <c r="N45" s="51">
        <v>0</v>
      </c>
      <c r="O45" s="51">
        <v>0</v>
      </c>
      <c r="P45" s="51">
        <v>0</v>
      </c>
      <c r="Q45" s="51">
        <v>0</v>
      </c>
      <c r="R45" s="51">
        <v>0</v>
      </c>
      <c r="S45" s="51">
        <v>0</v>
      </c>
      <c r="T45" s="51"/>
      <c r="U45" s="51">
        <f>ROUND(SUM(H45:T45),5)</f>
        <v>0</v>
      </c>
      <c r="V45" s="67">
        <v>5500</v>
      </c>
      <c r="W45" s="67">
        <v>5500</v>
      </c>
      <c r="X45" s="68" t="s">
        <v>207</v>
      </c>
      <c r="AB45" s="86"/>
      <c r="AC45" s="86"/>
      <c r="AD45" s="86"/>
      <c r="AE45" s="86"/>
      <c r="AF45" s="86"/>
      <c r="AG45" s="86" t="s">
        <v>108</v>
      </c>
      <c r="AH45" s="87"/>
      <c r="AI45" s="87"/>
      <c r="AJ45" s="87"/>
      <c r="AK45" s="87"/>
      <c r="AL45" s="87">
        <v>0</v>
      </c>
      <c r="AM45" s="87">
        <v>0</v>
      </c>
      <c r="AN45" s="87">
        <v>0</v>
      </c>
      <c r="AO45" s="87">
        <v>0</v>
      </c>
      <c r="AP45" s="87">
        <v>0</v>
      </c>
      <c r="AQ45" s="87">
        <v>3986.45</v>
      </c>
      <c r="AR45" s="87">
        <v>0</v>
      </c>
      <c r="AS45" s="87">
        <v>0</v>
      </c>
      <c r="AT45" s="87">
        <v>0</v>
      </c>
      <c r="AU45" s="87">
        <v>6572.5</v>
      </c>
      <c r="AV45" s="87">
        <v>0</v>
      </c>
      <c r="AW45" s="87">
        <v>0</v>
      </c>
      <c r="AX45" s="87"/>
      <c r="AY45" s="88">
        <f t="shared" si="18"/>
        <v>10558.95</v>
      </c>
      <c r="AZ45" s="88">
        <v>4500</v>
      </c>
      <c r="BA45" s="88">
        <v>5000</v>
      </c>
      <c r="BB45" s="89" t="s">
        <v>207</v>
      </c>
    </row>
    <row r="46" spans="1:54" ht="15" thickBot="1" x14ac:dyDescent="0.35">
      <c r="A46" s="50"/>
      <c r="B46" s="50"/>
      <c r="C46" s="50"/>
      <c r="D46" s="50"/>
      <c r="E46" s="50"/>
      <c r="F46" s="50"/>
      <c r="G46" s="50" t="s">
        <v>109</v>
      </c>
      <c r="H46" s="52">
        <v>35.64</v>
      </c>
      <c r="I46" s="52">
        <v>35.64</v>
      </c>
      <c r="J46" s="52">
        <v>35.64</v>
      </c>
      <c r="K46" s="52">
        <v>35.64</v>
      </c>
      <c r="L46" s="52">
        <v>35.64</v>
      </c>
      <c r="M46" s="52">
        <v>35.64</v>
      </c>
      <c r="N46" s="52">
        <v>35.64</v>
      </c>
      <c r="O46" s="52">
        <v>35.64</v>
      </c>
      <c r="P46" s="52">
        <v>35.64</v>
      </c>
      <c r="Q46" s="52">
        <v>35.64</v>
      </c>
      <c r="R46" s="52">
        <v>35.64</v>
      </c>
      <c r="S46" s="52">
        <v>35.64</v>
      </c>
      <c r="T46" s="52"/>
      <c r="U46" s="52">
        <f>ROUND(SUM(H46:T46),5)</f>
        <v>427.68</v>
      </c>
      <c r="V46" s="69">
        <v>450</v>
      </c>
      <c r="W46" s="69">
        <v>450</v>
      </c>
      <c r="X46" s="68" t="s">
        <v>207</v>
      </c>
      <c r="AB46" s="86"/>
      <c r="AC46" s="86"/>
      <c r="AD46" s="86"/>
      <c r="AE46" s="86"/>
      <c r="AF46" s="86"/>
      <c r="AG46" s="86" t="s">
        <v>237</v>
      </c>
      <c r="AH46" s="87"/>
      <c r="AI46" s="87"/>
      <c r="AJ46" s="87"/>
      <c r="AK46" s="87"/>
      <c r="AL46" s="87">
        <v>0</v>
      </c>
      <c r="AM46" s="87">
        <v>0</v>
      </c>
      <c r="AN46" s="87">
        <v>0</v>
      </c>
      <c r="AO46" s="87">
        <v>0</v>
      </c>
      <c r="AP46" s="87">
        <v>0</v>
      </c>
      <c r="AQ46" s="87">
        <v>0</v>
      </c>
      <c r="AR46" s="87">
        <v>0</v>
      </c>
      <c r="AS46" s="87">
        <v>0</v>
      </c>
      <c r="AT46" s="87">
        <v>0</v>
      </c>
      <c r="AU46" s="87">
        <v>0</v>
      </c>
      <c r="AV46" s="87">
        <v>0</v>
      </c>
      <c r="AW46" s="87">
        <v>0</v>
      </c>
      <c r="AX46" s="87"/>
      <c r="AY46" s="88">
        <f t="shared" si="18"/>
        <v>0</v>
      </c>
      <c r="AZ46" s="88">
        <v>5100</v>
      </c>
      <c r="BA46" s="88">
        <v>5500</v>
      </c>
      <c r="BB46" s="89" t="s">
        <v>207</v>
      </c>
    </row>
    <row r="47" spans="1:54" ht="15" thickBot="1" x14ac:dyDescent="0.35">
      <c r="A47" s="50"/>
      <c r="B47" s="50"/>
      <c r="C47" s="50"/>
      <c r="D47" s="50"/>
      <c r="E47" s="50"/>
      <c r="F47" s="50" t="s">
        <v>110</v>
      </c>
      <c r="G47" s="50"/>
      <c r="H47" s="51">
        <f t="shared" ref="H47:S47" si="19">ROUND(SUM(H42:H46),5)</f>
        <v>8808.32</v>
      </c>
      <c r="I47" s="51">
        <f t="shared" si="19"/>
        <v>17329.8</v>
      </c>
      <c r="J47" s="51">
        <f t="shared" si="19"/>
        <v>20635.86</v>
      </c>
      <c r="K47" s="51">
        <f t="shared" si="19"/>
        <v>23023.34</v>
      </c>
      <c r="L47" s="51">
        <f t="shared" si="19"/>
        <v>15880.78</v>
      </c>
      <c r="M47" s="51">
        <f t="shared" si="19"/>
        <v>24390.73</v>
      </c>
      <c r="N47" s="51">
        <f t="shared" si="19"/>
        <v>35651.15</v>
      </c>
      <c r="O47" s="51">
        <f t="shared" si="19"/>
        <v>18420.349999999999</v>
      </c>
      <c r="P47" s="51">
        <f t="shared" si="19"/>
        <v>18331.54</v>
      </c>
      <c r="Q47" s="51">
        <f t="shared" si="19"/>
        <v>27613.21</v>
      </c>
      <c r="R47" s="51">
        <f t="shared" si="19"/>
        <v>16878.95</v>
      </c>
      <c r="S47" s="51">
        <f t="shared" si="19"/>
        <v>22023.49</v>
      </c>
      <c r="T47" s="51"/>
      <c r="U47" s="51">
        <f>ROUND(SUM(H47:T47),5)</f>
        <v>248987.51999999999</v>
      </c>
      <c r="V47" s="51">
        <f>ROUND(SUM(V42:V46),5)</f>
        <v>291950</v>
      </c>
      <c r="W47" s="51">
        <f>ROUND(SUM(W42:W46),5)</f>
        <v>316450</v>
      </c>
      <c r="AB47" s="86"/>
      <c r="AC47" s="86"/>
      <c r="AD47" s="86"/>
      <c r="AE47" s="86"/>
      <c r="AF47" s="86"/>
      <c r="AG47" s="86" t="s">
        <v>109</v>
      </c>
      <c r="AH47" s="90"/>
      <c r="AI47" s="90"/>
      <c r="AJ47" s="90"/>
      <c r="AK47" s="90"/>
      <c r="AL47" s="90">
        <v>35.64</v>
      </c>
      <c r="AM47" s="90">
        <v>35.64</v>
      </c>
      <c r="AN47" s="90">
        <v>35.64</v>
      </c>
      <c r="AO47" s="90">
        <v>35.64</v>
      </c>
      <c r="AP47" s="90">
        <v>35.64</v>
      </c>
      <c r="AQ47" s="90">
        <v>35.64</v>
      </c>
      <c r="AR47" s="90">
        <v>35.64</v>
      </c>
      <c r="AS47" s="90">
        <v>35.64</v>
      </c>
      <c r="AT47" s="90">
        <v>35.64</v>
      </c>
      <c r="AU47" s="90">
        <v>35.64</v>
      </c>
      <c r="AV47" s="90">
        <v>35.64</v>
      </c>
      <c r="AW47" s="90">
        <v>35.64</v>
      </c>
      <c r="AX47" s="90"/>
      <c r="AY47" s="91">
        <f t="shared" si="18"/>
        <v>427.68</v>
      </c>
      <c r="AZ47" s="91">
        <v>450</v>
      </c>
      <c r="BA47" s="91">
        <v>450</v>
      </c>
      <c r="BB47" s="92"/>
    </row>
    <row r="48" spans="1:54" x14ac:dyDescent="0.3">
      <c r="A48" s="50"/>
      <c r="B48" s="50"/>
      <c r="C48" s="50"/>
      <c r="D48" s="50"/>
      <c r="E48" s="50"/>
      <c r="F48" s="50"/>
      <c r="G48" s="50"/>
      <c r="H48" s="51"/>
      <c r="I48" s="51"/>
      <c r="J48" s="51"/>
      <c r="K48" s="51"/>
      <c r="L48" s="51"/>
      <c r="M48" s="51"/>
      <c r="N48" s="51"/>
      <c r="O48" s="51"/>
      <c r="P48" s="51"/>
      <c r="Q48" s="51"/>
      <c r="R48" s="51"/>
      <c r="S48" s="51"/>
      <c r="T48" s="51"/>
      <c r="U48" s="51"/>
      <c r="V48" s="51"/>
      <c r="W48" s="51"/>
      <c r="AB48" s="86"/>
      <c r="AC48" s="86"/>
      <c r="AD48" s="86"/>
      <c r="AE48" s="86"/>
      <c r="AF48" s="86"/>
      <c r="AG48" s="86"/>
      <c r="AH48" s="87"/>
      <c r="AI48" s="87"/>
      <c r="AJ48" s="87"/>
      <c r="AK48" s="87"/>
      <c r="AL48" s="87"/>
      <c r="AM48" s="87"/>
      <c r="AN48" s="87"/>
      <c r="AO48" s="87"/>
      <c r="AP48" s="87"/>
      <c r="AQ48" s="87"/>
      <c r="AR48" s="87"/>
      <c r="AS48" s="87"/>
      <c r="AT48" s="87"/>
      <c r="AU48" s="87"/>
      <c r="AV48" s="87"/>
      <c r="AW48" s="87"/>
      <c r="AX48" s="87"/>
      <c r="AY48" s="88"/>
      <c r="AZ48" s="88"/>
      <c r="BA48" s="88"/>
      <c r="BB48" s="89"/>
    </row>
    <row r="49" spans="1:54" x14ac:dyDescent="0.3">
      <c r="A49" s="50"/>
      <c r="B49" s="50"/>
      <c r="C49" s="50"/>
      <c r="D49" s="50"/>
      <c r="E49" s="50"/>
      <c r="F49" s="50"/>
      <c r="G49" s="50"/>
      <c r="H49" s="51"/>
      <c r="I49" s="51"/>
      <c r="J49" s="51"/>
      <c r="K49" s="51"/>
      <c r="L49" s="51"/>
      <c r="M49" s="51"/>
      <c r="N49" s="51"/>
      <c r="O49" s="51"/>
      <c r="P49" s="51"/>
      <c r="Q49" s="51"/>
      <c r="R49" s="51"/>
      <c r="S49" s="51"/>
      <c r="T49" s="51"/>
      <c r="U49" s="51"/>
      <c r="V49" s="51"/>
      <c r="W49" s="51"/>
      <c r="AB49" s="86"/>
      <c r="AC49" s="86"/>
      <c r="AD49" s="86"/>
      <c r="AE49" s="86"/>
      <c r="AF49" s="86"/>
      <c r="AG49" s="86"/>
      <c r="AH49" s="87"/>
      <c r="AI49" s="87"/>
      <c r="AJ49" s="87"/>
      <c r="AK49" s="87"/>
      <c r="AL49" s="87"/>
      <c r="AM49" s="87"/>
      <c r="AN49" s="87"/>
      <c r="AO49" s="87"/>
      <c r="AP49" s="87"/>
      <c r="AQ49" s="87"/>
      <c r="AR49" s="87"/>
      <c r="AS49" s="87"/>
      <c r="AT49" s="87"/>
      <c r="AU49" s="87"/>
      <c r="AV49" s="87"/>
      <c r="AW49" s="87"/>
      <c r="AX49" s="87"/>
      <c r="AY49" s="88"/>
      <c r="AZ49" s="88"/>
      <c r="BA49" s="88"/>
      <c r="BB49" s="89"/>
    </row>
    <row r="50" spans="1:54" x14ac:dyDescent="0.3">
      <c r="A50" s="50"/>
      <c r="B50" s="50"/>
      <c r="C50" s="50"/>
      <c r="D50" s="50"/>
      <c r="E50" s="50"/>
      <c r="F50" s="50" t="s">
        <v>277</v>
      </c>
      <c r="G50" s="50"/>
      <c r="H50" s="51"/>
      <c r="I50" s="51"/>
      <c r="J50" s="51"/>
      <c r="K50" s="51"/>
      <c r="L50" s="51"/>
      <c r="M50" s="51"/>
      <c r="N50" s="51"/>
      <c r="O50" s="51"/>
      <c r="P50" s="51"/>
      <c r="Q50" s="51"/>
      <c r="R50" s="51"/>
      <c r="S50" s="51"/>
      <c r="T50" s="51"/>
      <c r="U50" s="51"/>
      <c r="V50" s="51"/>
      <c r="W50" s="51"/>
      <c r="AB50" s="86"/>
      <c r="AC50" s="86"/>
      <c r="AD50" s="86"/>
      <c r="AE50" s="86"/>
      <c r="AF50" s="86" t="s">
        <v>110</v>
      </c>
      <c r="AG50" s="86"/>
      <c r="AH50" s="87"/>
      <c r="AI50" s="87"/>
      <c r="AJ50" s="87"/>
      <c r="AK50" s="87"/>
      <c r="AL50" s="87">
        <f t="shared" ref="AL50:AW50" si="20">ROUND(SUM(AL42:AL47),5)</f>
        <v>8978.1200000000008</v>
      </c>
      <c r="AM50" s="87">
        <f t="shared" si="20"/>
        <v>16512.29</v>
      </c>
      <c r="AN50" s="87">
        <f t="shared" si="20"/>
        <v>17701.43</v>
      </c>
      <c r="AO50" s="87">
        <f t="shared" si="20"/>
        <v>28021.75</v>
      </c>
      <c r="AP50" s="87">
        <f t="shared" si="20"/>
        <v>14397.87</v>
      </c>
      <c r="AQ50" s="87">
        <f t="shared" si="20"/>
        <v>18445.650000000001</v>
      </c>
      <c r="AR50" s="87">
        <f t="shared" si="20"/>
        <v>24734.12</v>
      </c>
      <c r="AS50" s="87">
        <f t="shared" si="20"/>
        <v>16782.43</v>
      </c>
      <c r="AT50" s="87">
        <f t="shared" si="20"/>
        <v>16904.16</v>
      </c>
      <c r="AU50" s="87">
        <f t="shared" si="20"/>
        <v>32009.27</v>
      </c>
      <c r="AV50" s="87">
        <f t="shared" si="20"/>
        <v>26933.96</v>
      </c>
      <c r="AW50" s="87">
        <f t="shared" si="20"/>
        <v>21379.13</v>
      </c>
      <c r="AX50" s="87"/>
      <c r="AY50" s="88">
        <f t="shared" si="18"/>
        <v>242800.18</v>
      </c>
      <c r="AZ50" s="88">
        <f>ROUND(SUM(AZ42:AZ47),5)</f>
        <v>288730</v>
      </c>
      <c r="BA50" s="88">
        <f>ROUND(SUM(BA42:BA47),5)</f>
        <v>335630</v>
      </c>
      <c r="BB50" s="89"/>
    </row>
    <row r="51" spans="1:54" ht="15" thickBot="1" x14ac:dyDescent="0.35">
      <c r="A51" s="50"/>
      <c r="B51" s="50"/>
      <c r="C51" s="50"/>
      <c r="D51" s="50"/>
      <c r="E51" s="50"/>
      <c r="F51" s="50"/>
      <c r="G51" s="50" t="s">
        <v>212</v>
      </c>
      <c r="H51" s="52">
        <v>0</v>
      </c>
      <c r="I51" s="52">
        <v>0</v>
      </c>
      <c r="J51" s="52">
        <v>0</v>
      </c>
      <c r="K51" s="52">
        <v>1254.4000000000001</v>
      </c>
      <c r="L51" s="52">
        <v>851.2</v>
      </c>
      <c r="M51" s="52">
        <v>0</v>
      </c>
      <c r="N51" s="52">
        <v>0</v>
      </c>
      <c r="O51" s="52">
        <v>0</v>
      </c>
      <c r="P51" s="52">
        <v>0</v>
      </c>
      <c r="Q51" s="52">
        <v>0</v>
      </c>
      <c r="R51" s="52">
        <v>0</v>
      </c>
      <c r="S51" s="52">
        <v>0</v>
      </c>
      <c r="T51" s="52"/>
      <c r="U51" s="52">
        <f>ROUND(SUM(H51:T51),5)</f>
        <v>2105.6</v>
      </c>
      <c r="V51" s="52">
        <v>43680</v>
      </c>
      <c r="W51" s="52">
        <v>0</v>
      </c>
      <c r="X51" s="68" t="s">
        <v>297</v>
      </c>
      <c r="AB51" s="86"/>
      <c r="AC51" s="86"/>
      <c r="AD51" s="86"/>
      <c r="AE51" s="86"/>
      <c r="AF51" s="86"/>
      <c r="AG51" s="86"/>
      <c r="AH51" s="87"/>
      <c r="AI51" s="87"/>
      <c r="AJ51" s="87"/>
      <c r="AK51" s="87"/>
      <c r="AL51" s="87"/>
      <c r="AM51" s="87"/>
      <c r="AN51" s="87"/>
      <c r="AO51" s="87"/>
      <c r="AP51" s="87"/>
      <c r="AQ51" s="87"/>
      <c r="AR51" s="87"/>
      <c r="AS51" s="87"/>
      <c r="AT51" s="87"/>
      <c r="AU51" s="87"/>
      <c r="AV51" s="87"/>
      <c r="AW51" s="87"/>
      <c r="AX51" s="87"/>
      <c r="AY51" s="88"/>
      <c r="AZ51" s="88"/>
      <c r="BA51" s="88"/>
      <c r="BB51" s="89"/>
    </row>
    <row r="52" spans="1:54" x14ac:dyDescent="0.3">
      <c r="A52" s="50"/>
      <c r="B52" s="50"/>
      <c r="C52" s="50"/>
      <c r="D52" s="50"/>
      <c r="E52" s="50"/>
      <c r="F52" s="50" t="s">
        <v>278</v>
      </c>
      <c r="G52" s="50"/>
      <c r="H52" s="51">
        <f t="shared" ref="H52:P52" si="21">ROUND(SUM(H50:H51),5)</f>
        <v>0</v>
      </c>
      <c r="I52" s="51">
        <f t="shared" si="21"/>
        <v>0</v>
      </c>
      <c r="J52" s="51">
        <f t="shared" si="21"/>
        <v>0</v>
      </c>
      <c r="K52" s="51">
        <f t="shared" si="21"/>
        <v>1254.4000000000001</v>
      </c>
      <c r="L52" s="51">
        <f t="shared" si="21"/>
        <v>851.2</v>
      </c>
      <c r="M52" s="51">
        <f t="shared" si="21"/>
        <v>0</v>
      </c>
      <c r="N52" s="51">
        <f t="shared" si="21"/>
        <v>0</v>
      </c>
      <c r="O52" s="51">
        <f t="shared" si="21"/>
        <v>0</v>
      </c>
      <c r="P52" s="51">
        <f t="shared" si="21"/>
        <v>0</v>
      </c>
      <c r="Q52" s="51">
        <f>ROUND(SUM(Q50:Q51),5)</f>
        <v>0</v>
      </c>
      <c r="R52" s="51">
        <f>ROUND(SUM(R50:R51),5)</f>
        <v>0</v>
      </c>
      <c r="S52" s="51">
        <f>ROUND(SUM(S50:S51),5)</f>
        <v>0</v>
      </c>
      <c r="T52" s="51"/>
      <c r="U52" s="51">
        <f>ROUND(SUM(H52:T52),5)</f>
        <v>2105.6</v>
      </c>
      <c r="V52" s="51">
        <f>ROUND(SUM(V50:V51),5)</f>
        <v>43680</v>
      </c>
      <c r="W52" s="51">
        <f>ROUND(SUM(W50:W51),5)</f>
        <v>0</v>
      </c>
      <c r="AB52" s="86"/>
      <c r="AC52" s="86"/>
      <c r="AD52" s="86"/>
      <c r="AE52" s="86"/>
      <c r="AF52" s="86"/>
      <c r="AG52" s="86"/>
      <c r="AH52" s="87"/>
      <c r="AI52" s="87"/>
      <c r="AJ52" s="87"/>
      <c r="AK52" s="87"/>
      <c r="AL52" s="87"/>
      <c r="AM52" s="87"/>
      <c r="AN52" s="87"/>
      <c r="AO52" s="87"/>
      <c r="AP52" s="87"/>
      <c r="AQ52" s="87"/>
      <c r="AR52" s="87"/>
      <c r="AS52" s="87"/>
      <c r="AT52" s="87"/>
      <c r="AU52" s="87"/>
      <c r="AV52" s="87"/>
      <c r="AW52" s="87"/>
      <c r="AX52" s="87"/>
      <c r="AY52" s="88"/>
      <c r="AZ52" s="88"/>
      <c r="BA52" s="88"/>
      <c r="BB52" s="89"/>
    </row>
    <row r="53" spans="1:54" x14ac:dyDescent="0.3">
      <c r="A53" s="50"/>
      <c r="B53" s="50"/>
      <c r="C53" s="50"/>
      <c r="D53" s="50"/>
      <c r="E53" s="50"/>
      <c r="F53" s="50" t="s">
        <v>111</v>
      </c>
      <c r="G53" s="50"/>
      <c r="H53" s="51"/>
      <c r="I53" s="51"/>
      <c r="J53" s="51"/>
      <c r="K53" s="51"/>
      <c r="L53" s="51"/>
      <c r="M53" s="51"/>
      <c r="N53" s="51"/>
      <c r="O53" s="51"/>
      <c r="P53" s="51"/>
      <c r="Q53" s="51"/>
      <c r="R53" s="51"/>
      <c r="S53" s="51"/>
      <c r="T53" s="51"/>
      <c r="U53" s="51"/>
      <c r="V53" s="51"/>
      <c r="W53" s="51"/>
      <c r="AB53" s="86"/>
      <c r="AC53" s="86"/>
      <c r="AD53" s="86"/>
      <c r="AE53" s="86"/>
      <c r="AF53" s="86" t="s">
        <v>111</v>
      </c>
      <c r="AG53" s="86"/>
      <c r="AH53" s="87"/>
      <c r="AI53" s="87"/>
      <c r="AJ53" s="87"/>
      <c r="AK53" s="87"/>
      <c r="AL53" s="87"/>
      <c r="AM53" s="87"/>
      <c r="AN53" s="87"/>
      <c r="AO53" s="87"/>
      <c r="AP53" s="87"/>
      <c r="AQ53" s="87"/>
      <c r="AR53" s="87"/>
      <c r="AS53" s="87"/>
      <c r="AT53" s="87"/>
      <c r="AU53" s="87"/>
      <c r="AV53" s="87"/>
      <c r="AW53" s="87"/>
      <c r="AX53" s="87"/>
      <c r="AY53" s="88"/>
      <c r="AZ53" s="88"/>
      <c r="BA53" s="88"/>
      <c r="BB53" s="89"/>
    </row>
    <row r="54" spans="1:54" x14ac:dyDescent="0.3">
      <c r="A54" s="50"/>
      <c r="B54" s="50"/>
      <c r="C54" s="50"/>
      <c r="D54" s="50"/>
      <c r="E54" s="50"/>
      <c r="F54" s="50"/>
      <c r="G54" s="50" t="s">
        <v>112</v>
      </c>
      <c r="H54" s="51">
        <v>1363.28</v>
      </c>
      <c r="I54" s="51">
        <v>1867.01</v>
      </c>
      <c r="J54" s="51">
        <v>656.6</v>
      </c>
      <c r="K54" s="51">
        <v>1950.84</v>
      </c>
      <c r="L54" s="51">
        <v>1313.48</v>
      </c>
      <c r="M54" s="51">
        <v>1320.95</v>
      </c>
      <c r="N54" s="51">
        <v>1321.44</v>
      </c>
      <c r="O54" s="51">
        <v>1329.6</v>
      </c>
      <c r="P54" s="51">
        <v>1319.97</v>
      </c>
      <c r="Q54" s="51">
        <v>1985.98</v>
      </c>
      <c r="R54" s="51">
        <v>1221.78</v>
      </c>
      <c r="S54" s="51">
        <v>1197.02</v>
      </c>
      <c r="T54" s="51"/>
      <c r="U54" s="51">
        <f>ROUND(SUM(H54:T54),5)</f>
        <v>16847.95</v>
      </c>
      <c r="V54" s="51">
        <v>21000</v>
      </c>
      <c r="W54" s="51">
        <v>23000</v>
      </c>
      <c r="X54" s="68" t="s">
        <v>207</v>
      </c>
      <c r="AB54" s="86"/>
      <c r="AC54" s="86"/>
      <c r="AD54" s="86"/>
      <c r="AE54" s="86"/>
      <c r="AF54" s="86"/>
      <c r="AG54" s="86" t="s">
        <v>112</v>
      </c>
      <c r="AH54" s="87"/>
      <c r="AI54" s="87"/>
      <c r="AJ54" s="87"/>
      <c r="AK54" s="87"/>
      <c r="AL54" s="87">
        <v>1292.3</v>
      </c>
      <c r="AM54" s="87">
        <v>1764.12</v>
      </c>
      <c r="AN54" s="87">
        <v>589.02</v>
      </c>
      <c r="AO54" s="87">
        <v>2195.9699999999998</v>
      </c>
      <c r="AP54" s="87">
        <v>1217.4100000000001</v>
      </c>
      <c r="AQ54" s="87">
        <v>1220.48</v>
      </c>
      <c r="AR54" s="87">
        <v>1228.23</v>
      </c>
      <c r="AS54" s="87">
        <v>1225.46</v>
      </c>
      <c r="AT54" s="87">
        <v>1234.52</v>
      </c>
      <c r="AU54" s="87">
        <v>1839.28</v>
      </c>
      <c r="AV54" s="87">
        <v>1239.45</v>
      </c>
      <c r="AW54" s="87">
        <v>1365.34</v>
      </c>
      <c r="AX54" s="87"/>
      <c r="AY54" s="88">
        <f>ROUND(SUM(AH54:AX54),5)</f>
        <v>16411.580000000002</v>
      </c>
      <c r="AZ54" s="88">
        <v>16100</v>
      </c>
      <c r="BA54" s="88">
        <v>21000</v>
      </c>
      <c r="BB54" s="89" t="s">
        <v>207</v>
      </c>
    </row>
    <row r="55" spans="1:54" ht="15" thickBot="1" x14ac:dyDescent="0.35">
      <c r="A55" s="50"/>
      <c r="B55" s="50"/>
      <c r="C55" s="50"/>
      <c r="D55" s="50"/>
      <c r="E55" s="50"/>
      <c r="F55" s="50"/>
      <c r="G55" s="50" t="s">
        <v>113</v>
      </c>
      <c r="H55" s="52">
        <v>0</v>
      </c>
      <c r="I55" s="52">
        <v>626.04</v>
      </c>
      <c r="J55" s="52">
        <v>-626.04</v>
      </c>
      <c r="K55" s="52">
        <v>0</v>
      </c>
      <c r="L55" s="52">
        <v>0</v>
      </c>
      <c r="M55" s="52">
        <v>0</v>
      </c>
      <c r="N55" s="52">
        <v>0</v>
      </c>
      <c r="O55" s="52">
        <v>0</v>
      </c>
      <c r="P55" s="52">
        <v>0</v>
      </c>
      <c r="Q55" s="52">
        <v>0</v>
      </c>
      <c r="R55" s="52">
        <v>0</v>
      </c>
      <c r="S55" s="52">
        <v>0</v>
      </c>
      <c r="T55" s="52"/>
      <c r="U55" s="52">
        <f>ROUND(SUM(H55:T55),5)</f>
        <v>0</v>
      </c>
      <c r="V55" s="52">
        <v>0</v>
      </c>
      <c r="W55" s="52">
        <v>0</v>
      </c>
      <c r="AB55" s="86"/>
      <c r="AC55" s="86"/>
      <c r="AD55" s="86"/>
      <c r="AE55" s="86"/>
      <c r="AF55" s="86"/>
      <c r="AG55" s="86" t="s">
        <v>113</v>
      </c>
      <c r="AH55" s="90"/>
      <c r="AI55" s="90"/>
      <c r="AJ55" s="90"/>
      <c r="AK55" s="90"/>
      <c r="AL55" s="90">
        <v>126.98</v>
      </c>
      <c r="AM55" s="90">
        <v>589.03</v>
      </c>
      <c r="AN55" s="90">
        <v>-589.03</v>
      </c>
      <c r="AO55" s="90">
        <v>0</v>
      </c>
      <c r="AP55" s="90">
        <v>0</v>
      </c>
      <c r="AQ55" s="90">
        <v>0</v>
      </c>
      <c r="AR55" s="90">
        <v>0</v>
      </c>
      <c r="AS55" s="90">
        <v>0</v>
      </c>
      <c r="AT55" s="90">
        <v>0</v>
      </c>
      <c r="AU55" s="90">
        <v>0</v>
      </c>
      <c r="AV55" s="90">
        <v>0</v>
      </c>
      <c r="AW55" s="90">
        <v>-126.98</v>
      </c>
      <c r="AX55" s="90"/>
      <c r="AY55" s="91">
        <f>ROUND(SUM(AH55:AX55),5)</f>
        <v>0</v>
      </c>
      <c r="AZ55" s="91">
        <v>0</v>
      </c>
      <c r="BA55" s="91">
        <v>0</v>
      </c>
      <c r="BB55" s="92"/>
    </row>
    <row r="56" spans="1:54" x14ac:dyDescent="0.3">
      <c r="A56" s="50"/>
      <c r="B56" s="50"/>
      <c r="C56" s="50"/>
      <c r="D56" s="50"/>
      <c r="E56" s="50"/>
      <c r="F56" s="50" t="s">
        <v>114</v>
      </c>
      <c r="G56" s="50"/>
      <c r="H56" s="51">
        <f t="shared" ref="H56:P56" si="22">ROUND(SUM(H53:H55),5)</f>
        <v>1363.28</v>
      </c>
      <c r="I56" s="51">
        <f t="shared" si="22"/>
        <v>2493.0500000000002</v>
      </c>
      <c r="J56" s="51">
        <f t="shared" si="22"/>
        <v>30.56</v>
      </c>
      <c r="K56" s="51">
        <f t="shared" si="22"/>
        <v>1950.84</v>
      </c>
      <c r="L56" s="51">
        <f t="shared" si="22"/>
        <v>1313.48</v>
      </c>
      <c r="M56" s="51">
        <f t="shared" si="22"/>
        <v>1320.95</v>
      </c>
      <c r="N56" s="51">
        <f t="shared" si="22"/>
        <v>1321.44</v>
      </c>
      <c r="O56" s="51">
        <f t="shared" si="22"/>
        <v>1329.6</v>
      </c>
      <c r="P56" s="51">
        <f t="shared" si="22"/>
        <v>1319.97</v>
      </c>
      <c r="Q56" s="51">
        <f>ROUND(SUM(Q53:Q55),5)</f>
        <v>1985.98</v>
      </c>
      <c r="R56" s="51">
        <f>ROUND(SUM(R53:R55),5)</f>
        <v>1221.78</v>
      </c>
      <c r="S56" s="51">
        <f>ROUND(SUM(S53:S55),5)</f>
        <v>1197.02</v>
      </c>
      <c r="T56" s="51"/>
      <c r="U56" s="51">
        <f>ROUND(SUM(H56:T56),5)</f>
        <v>16847.95</v>
      </c>
      <c r="V56" s="51">
        <f>ROUND(SUM(V53:V55),5)</f>
        <v>21000</v>
      </c>
      <c r="W56" s="51">
        <f>ROUND(SUM(W53:W55),5)</f>
        <v>23000</v>
      </c>
      <c r="AB56" s="86"/>
      <c r="AC56" s="86"/>
      <c r="AD56" s="86"/>
      <c r="AE56" s="86"/>
      <c r="AF56" s="86" t="s">
        <v>114</v>
      </c>
      <c r="AG56" s="86"/>
      <c r="AH56" s="87"/>
      <c r="AI56" s="87"/>
      <c r="AJ56" s="87"/>
      <c r="AK56" s="87"/>
      <c r="AL56" s="87">
        <f t="shared" ref="AL56:AW56" si="23">ROUND(SUM(AL53:AL55),5)</f>
        <v>1419.28</v>
      </c>
      <c r="AM56" s="87">
        <f t="shared" si="23"/>
        <v>2353.15</v>
      </c>
      <c r="AN56" s="87">
        <f t="shared" si="23"/>
        <v>-0.01</v>
      </c>
      <c r="AO56" s="87">
        <f t="shared" si="23"/>
        <v>2195.9699999999998</v>
      </c>
      <c r="AP56" s="87">
        <f t="shared" si="23"/>
        <v>1217.4100000000001</v>
      </c>
      <c r="AQ56" s="87">
        <f t="shared" si="23"/>
        <v>1220.48</v>
      </c>
      <c r="AR56" s="87">
        <f t="shared" si="23"/>
        <v>1228.23</v>
      </c>
      <c r="AS56" s="87">
        <f t="shared" si="23"/>
        <v>1225.46</v>
      </c>
      <c r="AT56" s="87">
        <f t="shared" si="23"/>
        <v>1234.52</v>
      </c>
      <c r="AU56" s="87">
        <f t="shared" si="23"/>
        <v>1839.28</v>
      </c>
      <c r="AV56" s="87">
        <f t="shared" si="23"/>
        <v>1239.45</v>
      </c>
      <c r="AW56" s="87">
        <f t="shared" si="23"/>
        <v>1238.3599999999999</v>
      </c>
      <c r="AX56" s="87"/>
      <c r="AY56" s="88">
        <f>ROUND(SUM(AH56:AX56),5)</f>
        <v>16411.580000000002</v>
      </c>
      <c r="AZ56" s="88">
        <f>ROUND(SUM(AZ53:AZ55),5)</f>
        <v>16100</v>
      </c>
      <c r="BA56" s="88">
        <f>ROUND(SUM(BA53:BA55),5)</f>
        <v>21000</v>
      </c>
      <c r="BB56" s="89"/>
    </row>
    <row r="57" spans="1:54" x14ac:dyDescent="0.3">
      <c r="A57" s="50"/>
      <c r="B57" s="50"/>
      <c r="C57" s="50"/>
      <c r="D57" s="50"/>
      <c r="E57" s="50"/>
      <c r="F57" s="50" t="s">
        <v>115</v>
      </c>
      <c r="G57" s="50"/>
      <c r="H57" s="51"/>
      <c r="I57" s="51"/>
      <c r="J57" s="51"/>
      <c r="K57" s="51"/>
      <c r="L57" s="51"/>
      <c r="M57" s="51"/>
      <c r="N57" s="51"/>
      <c r="O57" s="51"/>
      <c r="P57" s="51"/>
      <c r="Q57" s="51"/>
      <c r="R57" s="51"/>
      <c r="S57" s="51"/>
      <c r="T57" s="51"/>
      <c r="U57" s="51"/>
      <c r="V57" s="51"/>
      <c r="W57" s="51"/>
      <c r="AB57" s="86"/>
      <c r="AC57" s="86"/>
      <c r="AD57" s="86"/>
      <c r="AE57" s="86"/>
      <c r="AF57" s="86" t="s">
        <v>115</v>
      </c>
      <c r="AG57" s="86"/>
      <c r="AH57" s="87"/>
      <c r="AI57" s="87"/>
      <c r="AJ57" s="87"/>
      <c r="AK57" s="87"/>
      <c r="AL57" s="87"/>
      <c r="AM57" s="87"/>
      <c r="AN57" s="87"/>
      <c r="AO57" s="87"/>
      <c r="AP57" s="87"/>
      <c r="AQ57" s="87"/>
      <c r="AR57" s="87"/>
      <c r="AS57" s="87"/>
      <c r="AT57" s="87"/>
      <c r="AU57" s="87"/>
      <c r="AV57" s="87"/>
      <c r="AW57" s="87"/>
      <c r="AX57" s="87"/>
      <c r="AY57" s="88"/>
      <c r="AZ57" s="88"/>
      <c r="BA57" s="88"/>
      <c r="BB57" s="89"/>
    </row>
    <row r="58" spans="1:54" ht="21.6" x14ac:dyDescent="0.3">
      <c r="A58" s="50"/>
      <c r="B58" s="50"/>
      <c r="C58" s="50"/>
      <c r="D58" s="50"/>
      <c r="E58" s="50"/>
      <c r="F58" s="50"/>
      <c r="G58" s="50" t="s">
        <v>116</v>
      </c>
      <c r="H58" s="51">
        <v>543.91</v>
      </c>
      <c r="I58" s="51">
        <v>1118.73</v>
      </c>
      <c r="J58" s="51">
        <v>1323.72</v>
      </c>
      <c r="K58" s="51">
        <v>1471.73</v>
      </c>
      <c r="L58" s="51">
        <v>1019.6</v>
      </c>
      <c r="M58" s="51">
        <v>1547.22</v>
      </c>
      <c r="N58" s="51">
        <v>2208.17</v>
      </c>
      <c r="O58" s="51">
        <v>1186.3499999999999</v>
      </c>
      <c r="P58" s="51">
        <v>1171.55</v>
      </c>
      <c r="Q58" s="51">
        <v>1756.31</v>
      </c>
      <c r="R58" s="51">
        <v>1044.3</v>
      </c>
      <c r="S58" s="51">
        <v>1929.56</v>
      </c>
      <c r="T58" s="51"/>
      <c r="U58" s="51">
        <f>ROUND(SUM(H58:T58),5)</f>
        <v>16321.15</v>
      </c>
      <c r="V58" s="51">
        <v>18771</v>
      </c>
      <c r="W58" s="51">
        <v>20000</v>
      </c>
      <c r="X58" s="68" t="s">
        <v>208</v>
      </c>
      <c r="AB58" s="86"/>
      <c r="AC58" s="86"/>
      <c r="AD58" s="86"/>
      <c r="AE58" s="86"/>
      <c r="AF58" s="86"/>
      <c r="AG58" s="86" t="s">
        <v>116</v>
      </c>
      <c r="AH58" s="87"/>
      <c r="AI58" s="87"/>
      <c r="AJ58" s="87"/>
      <c r="AK58" s="87"/>
      <c r="AL58" s="87">
        <v>559.08000000000004</v>
      </c>
      <c r="AM58" s="87">
        <v>1068.06</v>
      </c>
      <c r="AN58" s="87">
        <v>1141.78</v>
      </c>
      <c r="AO58" s="87">
        <v>1828.14</v>
      </c>
      <c r="AP58" s="87">
        <v>890.47</v>
      </c>
      <c r="AQ58" s="87">
        <v>1187.93</v>
      </c>
      <c r="AR58" s="87">
        <v>1531.32</v>
      </c>
      <c r="AS58" s="87">
        <v>1084.8</v>
      </c>
      <c r="AT58" s="87">
        <v>1092.3599999999999</v>
      </c>
      <c r="AU58" s="87">
        <v>2075.37</v>
      </c>
      <c r="AV58" s="87">
        <v>1667.7</v>
      </c>
      <c r="AW58" s="87">
        <v>1411.65</v>
      </c>
      <c r="AX58" s="87"/>
      <c r="AY58" s="88">
        <f>ROUND(SUM(AH58:AX58),5)</f>
        <v>15538.66</v>
      </c>
      <c r="AZ58" s="88">
        <v>19000</v>
      </c>
      <c r="BA58" s="88">
        <f>ROUND((BA43+BA45+BA46+BA93)*0.062,0)</f>
        <v>18771</v>
      </c>
      <c r="BB58" s="89" t="s">
        <v>208</v>
      </c>
    </row>
    <row r="59" spans="1:54" ht="22.2" thickBot="1" x14ac:dyDescent="0.35">
      <c r="A59" s="50"/>
      <c r="B59" s="50"/>
      <c r="C59" s="50"/>
      <c r="D59" s="50"/>
      <c r="E59" s="50"/>
      <c r="F59" s="50"/>
      <c r="G59" s="50" t="s">
        <v>117</v>
      </c>
      <c r="H59" s="52">
        <v>127.2</v>
      </c>
      <c r="I59" s="52">
        <v>261.66000000000003</v>
      </c>
      <c r="J59" s="52">
        <v>309.60000000000002</v>
      </c>
      <c r="K59" s="52">
        <v>344.23</v>
      </c>
      <c r="L59" s="52">
        <v>238.47</v>
      </c>
      <c r="M59" s="52">
        <v>361.87</v>
      </c>
      <c r="N59" s="52">
        <v>516.42999999999995</v>
      </c>
      <c r="O59" s="52">
        <v>277.47000000000003</v>
      </c>
      <c r="P59" s="52">
        <v>274.01</v>
      </c>
      <c r="Q59" s="52">
        <v>410.79</v>
      </c>
      <c r="R59" s="52">
        <v>244.22</v>
      </c>
      <c r="S59" s="52">
        <v>451.33</v>
      </c>
      <c r="T59" s="52"/>
      <c r="U59" s="52">
        <f>ROUND(SUM(H59:T59),5)</f>
        <v>3817.28</v>
      </c>
      <c r="V59" s="52">
        <v>4390</v>
      </c>
      <c r="W59" s="52">
        <v>4600</v>
      </c>
      <c r="X59" s="68" t="s">
        <v>208</v>
      </c>
      <c r="AB59" s="86"/>
      <c r="AC59" s="86"/>
      <c r="AD59" s="86"/>
      <c r="AE59" s="86"/>
      <c r="AF59" s="86"/>
      <c r="AG59" s="86" t="s">
        <v>117</v>
      </c>
      <c r="AH59" s="90"/>
      <c r="AI59" s="90"/>
      <c r="AJ59" s="90"/>
      <c r="AK59" s="90"/>
      <c r="AL59" s="90">
        <v>130.76</v>
      </c>
      <c r="AM59" s="90">
        <v>249.81</v>
      </c>
      <c r="AN59" s="90">
        <v>267.06</v>
      </c>
      <c r="AO59" s="90">
        <v>427.6</v>
      </c>
      <c r="AP59" s="90">
        <v>208.26</v>
      </c>
      <c r="AQ59" s="90">
        <v>277.83999999999997</v>
      </c>
      <c r="AR59" s="90">
        <v>358.11</v>
      </c>
      <c r="AS59" s="90">
        <v>253.72</v>
      </c>
      <c r="AT59" s="90">
        <v>255.51</v>
      </c>
      <c r="AU59" s="90">
        <v>485.42</v>
      </c>
      <c r="AV59" s="90">
        <v>390.03</v>
      </c>
      <c r="AW59" s="90">
        <v>330.2</v>
      </c>
      <c r="AX59" s="90"/>
      <c r="AY59" s="91">
        <f>ROUND(SUM(AH59:AX59),5)</f>
        <v>3634.32</v>
      </c>
      <c r="AZ59" s="91">
        <v>4000</v>
      </c>
      <c r="BA59" s="91">
        <f>ROUND((BA43+BA45+BA46+BA93)*0.0145,0)</f>
        <v>4390</v>
      </c>
      <c r="BB59" s="92" t="s">
        <v>208</v>
      </c>
    </row>
    <row r="60" spans="1:54" x14ac:dyDescent="0.3">
      <c r="A60" s="50"/>
      <c r="B60" s="50"/>
      <c r="C60" s="50"/>
      <c r="D60" s="50"/>
      <c r="E60" s="50"/>
      <c r="F60" s="50" t="s">
        <v>118</v>
      </c>
      <c r="G60" s="50"/>
      <c r="H60" s="51">
        <f t="shared" ref="H60:P60" si="24">ROUND(SUM(H57:H59),5)</f>
        <v>671.11</v>
      </c>
      <c r="I60" s="51">
        <f t="shared" si="24"/>
        <v>1380.39</v>
      </c>
      <c r="J60" s="51">
        <f t="shared" si="24"/>
        <v>1633.32</v>
      </c>
      <c r="K60" s="51">
        <f t="shared" si="24"/>
        <v>1815.96</v>
      </c>
      <c r="L60" s="51">
        <f t="shared" si="24"/>
        <v>1258.07</v>
      </c>
      <c r="M60" s="51">
        <f t="shared" si="24"/>
        <v>1909.09</v>
      </c>
      <c r="N60" s="51">
        <f t="shared" si="24"/>
        <v>2724.6</v>
      </c>
      <c r="O60" s="51">
        <f t="shared" si="24"/>
        <v>1463.82</v>
      </c>
      <c r="P60" s="51">
        <f t="shared" si="24"/>
        <v>1445.56</v>
      </c>
      <c r="Q60" s="51">
        <f>ROUND(SUM(Q57:Q59),5)</f>
        <v>2167.1</v>
      </c>
      <c r="R60" s="51">
        <f>ROUND(SUM(R57:R59),5)</f>
        <v>1288.52</v>
      </c>
      <c r="S60" s="51">
        <f>ROUND(SUM(S57:S59),5)</f>
        <v>2380.89</v>
      </c>
      <c r="T60" s="51"/>
      <c r="U60" s="51">
        <f>ROUND(SUM(H60:T60),5)</f>
        <v>20138.43</v>
      </c>
      <c r="V60" s="51">
        <f>ROUND(SUM(V57:V59),5)</f>
        <v>23161</v>
      </c>
      <c r="W60" s="51">
        <f>ROUND(SUM(W57:W59),5)</f>
        <v>24600</v>
      </c>
      <c r="AB60" s="86"/>
      <c r="AC60" s="86"/>
      <c r="AD60" s="86"/>
      <c r="AE60" s="86"/>
      <c r="AF60" s="86" t="s">
        <v>118</v>
      </c>
      <c r="AG60" s="86"/>
      <c r="AH60" s="87"/>
      <c r="AI60" s="87"/>
      <c r="AJ60" s="87"/>
      <c r="AK60" s="87"/>
      <c r="AL60" s="87">
        <f t="shared" ref="AL60:AW60" si="25">ROUND(SUM(AL57:AL59),5)</f>
        <v>689.84</v>
      </c>
      <c r="AM60" s="87">
        <f t="shared" si="25"/>
        <v>1317.87</v>
      </c>
      <c r="AN60" s="87">
        <f t="shared" si="25"/>
        <v>1408.84</v>
      </c>
      <c r="AO60" s="87">
        <f t="shared" si="25"/>
        <v>2255.7399999999998</v>
      </c>
      <c r="AP60" s="87">
        <f t="shared" si="25"/>
        <v>1098.73</v>
      </c>
      <c r="AQ60" s="87">
        <f t="shared" si="25"/>
        <v>1465.77</v>
      </c>
      <c r="AR60" s="87">
        <f t="shared" si="25"/>
        <v>1889.43</v>
      </c>
      <c r="AS60" s="87">
        <f t="shared" si="25"/>
        <v>1338.52</v>
      </c>
      <c r="AT60" s="87">
        <f t="shared" si="25"/>
        <v>1347.87</v>
      </c>
      <c r="AU60" s="87">
        <f t="shared" si="25"/>
        <v>2560.79</v>
      </c>
      <c r="AV60" s="87">
        <f t="shared" si="25"/>
        <v>2057.73</v>
      </c>
      <c r="AW60" s="87">
        <f t="shared" si="25"/>
        <v>1741.85</v>
      </c>
      <c r="AX60" s="87"/>
      <c r="AY60" s="88">
        <f>ROUND(SUM(AH60:AX60),5)</f>
        <v>19172.98</v>
      </c>
      <c r="AZ60" s="88">
        <f>ROUND(SUM(AZ57:AZ59),5)</f>
        <v>23000</v>
      </c>
      <c r="BA60" s="88">
        <f>ROUND(SUM(BA57:BA59),5)</f>
        <v>23161</v>
      </c>
      <c r="BB60" s="89"/>
    </row>
    <row r="61" spans="1:54" x14ac:dyDescent="0.3">
      <c r="A61" s="50"/>
      <c r="B61" s="50"/>
      <c r="C61" s="50"/>
      <c r="D61" s="50"/>
      <c r="E61" s="50"/>
      <c r="F61" s="50" t="s">
        <v>119</v>
      </c>
      <c r="G61" s="50"/>
      <c r="H61" s="51"/>
      <c r="I61" s="51"/>
      <c r="J61" s="51"/>
      <c r="K61" s="51"/>
      <c r="L61" s="51"/>
      <c r="M61" s="51"/>
      <c r="N61" s="51"/>
      <c r="O61" s="51"/>
      <c r="P61" s="51"/>
      <c r="Q61" s="51"/>
      <c r="R61" s="51"/>
      <c r="S61" s="51"/>
      <c r="T61" s="51"/>
      <c r="U61" s="51"/>
      <c r="V61" s="51"/>
      <c r="W61" s="51"/>
      <c r="AB61" s="86"/>
      <c r="AC61" s="86"/>
      <c r="AD61" s="86"/>
      <c r="AE61" s="86"/>
      <c r="AF61" s="86" t="s">
        <v>119</v>
      </c>
      <c r="AG61" s="86"/>
      <c r="AH61" s="87"/>
      <c r="AI61" s="87"/>
      <c r="AJ61" s="87"/>
      <c r="AK61" s="87"/>
      <c r="AL61" s="87"/>
      <c r="AM61" s="87"/>
      <c r="AN61" s="87"/>
      <c r="AO61" s="87"/>
      <c r="AP61" s="87"/>
      <c r="AQ61" s="87"/>
      <c r="AR61" s="87"/>
      <c r="AS61" s="87"/>
      <c r="AT61" s="87"/>
      <c r="AU61" s="87"/>
      <c r="AV61" s="87"/>
      <c r="AW61" s="87"/>
      <c r="AX61" s="87"/>
      <c r="AY61" s="88"/>
      <c r="AZ61" s="88"/>
      <c r="BA61" s="88"/>
      <c r="BB61" s="89"/>
    </row>
    <row r="62" spans="1:54" x14ac:dyDescent="0.3">
      <c r="A62" s="50"/>
      <c r="B62" s="50"/>
      <c r="C62" s="50"/>
      <c r="D62" s="50"/>
      <c r="E62" s="50"/>
      <c r="F62" s="50"/>
      <c r="G62" s="50" t="s">
        <v>120</v>
      </c>
      <c r="H62" s="51">
        <v>7851.47</v>
      </c>
      <c r="I62" s="51">
        <v>3925.93</v>
      </c>
      <c r="J62" s="51">
        <v>0</v>
      </c>
      <c r="K62" s="51">
        <v>3925.93</v>
      </c>
      <c r="L62" s="51">
        <v>3254.42</v>
      </c>
      <c r="M62" s="51">
        <v>3254.42</v>
      </c>
      <c r="N62" s="51">
        <v>3379.51</v>
      </c>
      <c r="O62" s="51">
        <v>3379.51</v>
      </c>
      <c r="P62" s="51">
        <v>3379.51</v>
      </c>
      <c r="Q62" s="51">
        <v>3379.51</v>
      </c>
      <c r="R62" s="51">
        <v>3379.51</v>
      </c>
      <c r="S62" s="51">
        <v>3379.51</v>
      </c>
      <c r="T62" s="51"/>
      <c r="U62" s="51">
        <f>ROUND(SUM(H62:T62),5)</f>
        <v>42489.23</v>
      </c>
      <c r="V62" s="67">
        <v>60000</v>
      </c>
      <c r="W62" s="67">
        <v>50000</v>
      </c>
      <c r="X62" s="68" t="s">
        <v>207</v>
      </c>
      <c r="AB62" s="86"/>
      <c r="AC62" s="86"/>
      <c r="AD62" s="86"/>
      <c r="AE62" s="86"/>
      <c r="AF62" s="86"/>
      <c r="AG62" s="86" t="s">
        <v>120</v>
      </c>
      <c r="AH62" s="87"/>
      <c r="AI62" s="87"/>
      <c r="AJ62" s="87"/>
      <c r="AK62" s="87"/>
      <c r="AL62" s="87">
        <v>3878.65</v>
      </c>
      <c r="AM62" s="87">
        <v>3212.66</v>
      </c>
      <c r="AN62" s="87">
        <v>0</v>
      </c>
      <c r="AO62" s="87">
        <v>3212.66</v>
      </c>
      <c r="AP62" s="87">
        <v>3212.66</v>
      </c>
      <c r="AQ62" s="87">
        <v>3212.66</v>
      </c>
      <c r="AR62" s="87">
        <v>3254.09</v>
      </c>
      <c r="AS62" s="87">
        <v>3254.09</v>
      </c>
      <c r="AT62" s="87">
        <v>4596.99</v>
      </c>
      <c r="AU62" s="87">
        <v>3925.54</v>
      </c>
      <c r="AV62" s="87">
        <v>5212.17</v>
      </c>
      <c r="AW62" s="87">
        <v>8800.1</v>
      </c>
      <c r="AX62" s="87"/>
      <c r="AY62" s="88">
        <f>ROUND(SUM(AH62:AX62),5)</f>
        <v>45772.27</v>
      </c>
      <c r="AZ62" s="88">
        <v>60000</v>
      </c>
      <c r="BA62" s="88">
        <v>60000</v>
      </c>
      <c r="BB62" s="89" t="s">
        <v>207</v>
      </c>
    </row>
    <row r="63" spans="1:54" x14ac:dyDescent="0.3">
      <c r="A63" s="50"/>
      <c r="B63" s="50"/>
      <c r="C63" s="50"/>
      <c r="D63" s="50"/>
      <c r="E63" s="50"/>
      <c r="F63" s="50"/>
      <c r="G63" s="50" t="s">
        <v>121</v>
      </c>
      <c r="H63" s="51">
        <v>147.69</v>
      </c>
      <c r="I63" s="51">
        <v>0</v>
      </c>
      <c r="J63" s="51">
        <v>0</v>
      </c>
      <c r="K63" s="51">
        <v>49.23</v>
      </c>
      <c r="L63" s="51">
        <v>71.760000000000005</v>
      </c>
      <c r="M63" s="51">
        <v>80.66</v>
      </c>
      <c r="N63" s="51">
        <v>40.33</v>
      </c>
      <c r="O63" s="51">
        <v>0</v>
      </c>
      <c r="P63" s="51">
        <v>80.66</v>
      </c>
      <c r="Q63" s="51">
        <v>0</v>
      </c>
      <c r="R63" s="51">
        <v>49.23</v>
      </c>
      <c r="S63" s="51">
        <v>65.28</v>
      </c>
      <c r="T63" s="51"/>
      <c r="U63" s="51">
        <f>ROUND(SUM(H63:T63),5)</f>
        <v>584.84</v>
      </c>
      <c r="V63" s="67">
        <v>1000</v>
      </c>
      <c r="W63" s="67">
        <v>800</v>
      </c>
      <c r="X63" s="68" t="s">
        <v>207</v>
      </c>
      <c r="AB63" s="86"/>
      <c r="AC63" s="86"/>
      <c r="AD63" s="86"/>
      <c r="AE63" s="86"/>
      <c r="AF63" s="86"/>
      <c r="AG63" s="86" t="s">
        <v>121</v>
      </c>
      <c r="AH63" s="87"/>
      <c r="AI63" s="87"/>
      <c r="AJ63" s="87"/>
      <c r="AK63" s="87"/>
      <c r="AL63" s="87">
        <v>46.72</v>
      </c>
      <c r="AM63" s="87">
        <v>40.33</v>
      </c>
      <c r="AN63" s="87">
        <v>40.33</v>
      </c>
      <c r="AO63" s="87">
        <v>40.33</v>
      </c>
      <c r="AP63" s="87">
        <v>40.33</v>
      </c>
      <c r="AQ63" s="87">
        <v>40.33</v>
      </c>
      <c r="AR63" s="87">
        <v>49.23</v>
      </c>
      <c r="AS63" s="87">
        <v>0</v>
      </c>
      <c r="AT63" s="87">
        <v>98.46</v>
      </c>
      <c r="AU63" s="87">
        <v>49.23</v>
      </c>
      <c r="AV63" s="87">
        <v>65.28</v>
      </c>
      <c r="AW63" s="87">
        <v>112</v>
      </c>
      <c r="AX63" s="87"/>
      <c r="AY63" s="88">
        <f>ROUND(SUM(AH63:AX63),5)</f>
        <v>622.57000000000005</v>
      </c>
      <c r="AZ63" s="88">
        <v>850</v>
      </c>
      <c r="BA63" s="88">
        <v>1000</v>
      </c>
      <c r="BB63" s="89" t="s">
        <v>207</v>
      </c>
    </row>
    <row r="64" spans="1:54" ht="15" thickBot="1" x14ac:dyDescent="0.35">
      <c r="A64" s="50"/>
      <c r="B64" s="50"/>
      <c r="C64" s="50"/>
      <c r="D64" s="50"/>
      <c r="E64" s="50"/>
      <c r="F64" s="50"/>
      <c r="G64" s="50" t="s">
        <v>122</v>
      </c>
      <c r="H64" s="52">
        <v>664.72</v>
      </c>
      <c r="I64" s="52">
        <v>332.36</v>
      </c>
      <c r="J64" s="52">
        <v>272.48</v>
      </c>
      <c r="K64" s="52">
        <v>272.48</v>
      </c>
      <c r="L64" s="52">
        <v>272.48</v>
      </c>
      <c r="M64" s="52">
        <v>0</v>
      </c>
      <c r="N64" s="52">
        <v>544.96</v>
      </c>
      <c r="O64" s="52">
        <v>0</v>
      </c>
      <c r="P64" s="52">
        <v>558.6</v>
      </c>
      <c r="Q64" s="52">
        <v>286.12</v>
      </c>
      <c r="R64" s="52">
        <v>286.12</v>
      </c>
      <c r="S64" s="52">
        <v>286.12</v>
      </c>
      <c r="T64" s="52"/>
      <c r="U64" s="52">
        <f>ROUND(SUM(H64:T64),5)</f>
        <v>3776.44</v>
      </c>
      <c r="V64" s="69">
        <v>3800</v>
      </c>
      <c r="W64" s="69">
        <v>3200</v>
      </c>
      <c r="X64" s="68" t="s">
        <v>207</v>
      </c>
      <c r="AB64" s="86"/>
      <c r="AC64" s="86"/>
      <c r="AD64" s="86"/>
      <c r="AE64" s="86"/>
      <c r="AF64" s="86"/>
      <c r="AG64" s="86" t="s">
        <v>122</v>
      </c>
      <c r="AH64" s="90"/>
      <c r="AI64" s="90"/>
      <c r="AJ64" s="90"/>
      <c r="AK64" s="90"/>
      <c r="AL64" s="90">
        <v>332.36</v>
      </c>
      <c r="AM64" s="90">
        <v>272.48</v>
      </c>
      <c r="AN64" s="90">
        <v>272.48</v>
      </c>
      <c r="AO64" s="90">
        <v>272.48</v>
      </c>
      <c r="AP64" s="90">
        <v>272.48</v>
      </c>
      <c r="AQ64" s="90">
        <v>272.48</v>
      </c>
      <c r="AR64" s="90">
        <v>332.36</v>
      </c>
      <c r="AS64" s="90">
        <v>0</v>
      </c>
      <c r="AT64" s="90">
        <v>664.72</v>
      </c>
      <c r="AU64" s="90">
        <v>332.36</v>
      </c>
      <c r="AV64" s="90">
        <v>447.04</v>
      </c>
      <c r="AW64" s="90">
        <v>429.76</v>
      </c>
      <c r="AX64" s="90"/>
      <c r="AY64" s="91">
        <f>ROUND(SUM(AH64:AX64),5)</f>
        <v>3901</v>
      </c>
      <c r="AZ64" s="91">
        <v>4100</v>
      </c>
      <c r="BA64" s="91">
        <v>3800</v>
      </c>
      <c r="BB64" s="92" t="s">
        <v>207</v>
      </c>
    </row>
    <row r="65" spans="1:54" x14ac:dyDescent="0.3">
      <c r="A65" s="50"/>
      <c r="B65" s="50"/>
      <c r="C65" s="50"/>
      <c r="D65" s="50"/>
      <c r="E65" s="50"/>
      <c r="F65" s="50" t="s">
        <v>123</v>
      </c>
      <c r="G65" s="50"/>
      <c r="H65" s="51">
        <f t="shared" ref="H65:P65" si="26">ROUND(SUM(H61:H64),5)</f>
        <v>8663.8799999999992</v>
      </c>
      <c r="I65" s="51">
        <f t="shared" si="26"/>
        <v>4258.29</v>
      </c>
      <c r="J65" s="51">
        <f t="shared" si="26"/>
        <v>272.48</v>
      </c>
      <c r="K65" s="51">
        <f t="shared" si="26"/>
        <v>4247.6400000000003</v>
      </c>
      <c r="L65" s="51">
        <f t="shared" si="26"/>
        <v>3598.66</v>
      </c>
      <c r="M65" s="51">
        <f t="shared" si="26"/>
        <v>3335.08</v>
      </c>
      <c r="N65" s="51">
        <f t="shared" si="26"/>
        <v>3964.8</v>
      </c>
      <c r="O65" s="51">
        <f t="shared" si="26"/>
        <v>3379.51</v>
      </c>
      <c r="P65" s="51">
        <f t="shared" si="26"/>
        <v>4018.77</v>
      </c>
      <c r="Q65" s="51">
        <f>ROUND(SUM(Q61:Q64),5)</f>
        <v>3665.63</v>
      </c>
      <c r="R65" s="51">
        <f>ROUND(SUM(R61:R64),5)</f>
        <v>3714.86</v>
      </c>
      <c r="S65" s="51">
        <f>ROUND(SUM(S61:S64),5)</f>
        <v>3730.91</v>
      </c>
      <c r="T65" s="51"/>
      <c r="U65" s="51">
        <f>ROUND(SUM(H65:T65),5)</f>
        <v>46850.51</v>
      </c>
      <c r="V65" s="51">
        <f>ROUND(SUM(V61:V64),5)</f>
        <v>64800</v>
      </c>
      <c r="W65" s="51">
        <f>ROUND(SUM(W61:W64),5)</f>
        <v>54000</v>
      </c>
      <c r="AB65" s="86"/>
      <c r="AC65" s="86"/>
      <c r="AD65" s="86"/>
      <c r="AE65" s="86"/>
      <c r="AF65" s="86" t="s">
        <v>123</v>
      </c>
      <c r="AG65" s="86"/>
      <c r="AH65" s="87"/>
      <c r="AI65" s="87"/>
      <c r="AJ65" s="87"/>
      <c r="AK65" s="87"/>
      <c r="AL65" s="87">
        <f t="shared" ref="AL65:AW65" si="27">ROUND(SUM(AL61:AL64),5)</f>
        <v>4257.7299999999996</v>
      </c>
      <c r="AM65" s="87">
        <f t="shared" si="27"/>
        <v>3525.47</v>
      </c>
      <c r="AN65" s="87">
        <f t="shared" si="27"/>
        <v>312.81</v>
      </c>
      <c r="AO65" s="87">
        <f t="shared" si="27"/>
        <v>3525.47</v>
      </c>
      <c r="AP65" s="87">
        <f t="shared" si="27"/>
        <v>3525.47</v>
      </c>
      <c r="AQ65" s="87">
        <f t="shared" si="27"/>
        <v>3525.47</v>
      </c>
      <c r="AR65" s="87">
        <f t="shared" si="27"/>
        <v>3635.68</v>
      </c>
      <c r="AS65" s="87">
        <f t="shared" si="27"/>
        <v>3254.09</v>
      </c>
      <c r="AT65" s="87">
        <f t="shared" si="27"/>
        <v>5360.17</v>
      </c>
      <c r="AU65" s="87">
        <f t="shared" si="27"/>
        <v>4307.13</v>
      </c>
      <c r="AV65" s="87">
        <f t="shared" si="27"/>
        <v>5724.49</v>
      </c>
      <c r="AW65" s="87">
        <f t="shared" si="27"/>
        <v>9341.86</v>
      </c>
      <c r="AX65" s="87"/>
      <c r="AY65" s="88">
        <f>ROUND(SUM(AH65:AX65),5)</f>
        <v>50295.839999999997</v>
      </c>
      <c r="AZ65" s="88">
        <f>ROUND(SUM(AZ61:AZ64),5)</f>
        <v>64950</v>
      </c>
      <c r="BA65" s="88">
        <f>ROUND(SUM(BA61:BA64),5)</f>
        <v>64800</v>
      </c>
      <c r="BB65" s="89"/>
    </row>
    <row r="66" spans="1:54" x14ac:dyDescent="0.3">
      <c r="A66" s="50"/>
      <c r="B66" s="50"/>
      <c r="C66" s="50"/>
      <c r="D66" s="50"/>
      <c r="E66" s="50"/>
      <c r="F66" s="50" t="s">
        <v>124</v>
      </c>
      <c r="G66" s="50"/>
      <c r="H66" s="51"/>
      <c r="I66" s="51"/>
      <c r="J66" s="51"/>
      <c r="K66" s="51"/>
      <c r="L66" s="51"/>
      <c r="M66" s="51"/>
      <c r="N66" s="51"/>
      <c r="O66" s="51"/>
      <c r="P66" s="51"/>
      <c r="Q66" s="51"/>
      <c r="R66" s="51"/>
      <c r="S66" s="51"/>
      <c r="T66" s="51"/>
      <c r="U66" s="51"/>
      <c r="V66" s="51"/>
      <c r="W66" s="51"/>
      <c r="AB66" s="86"/>
      <c r="AC66" s="86"/>
      <c r="AD66" s="86"/>
      <c r="AE66" s="86"/>
      <c r="AF66" s="86" t="s">
        <v>124</v>
      </c>
      <c r="AG66" s="86"/>
      <c r="AH66" s="87"/>
      <c r="AI66" s="87"/>
      <c r="AJ66" s="87"/>
      <c r="AK66" s="87"/>
      <c r="AL66" s="87"/>
      <c r="AM66" s="87"/>
      <c r="AN66" s="87"/>
      <c r="AO66" s="87"/>
      <c r="AP66" s="87"/>
      <c r="AQ66" s="87"/>
      <c r="AR66" s="87"/>
      <c r="AS66" s="87"/>
      <c r="AT66" s="87"/>
      <c r="AU66" s="87"/>
      <c r="AV66" s="87"/>
      <c r="AW66" s="87"/>
      <c r="AX66" s="87"/>
      <c r="AY66" s="88"/>
      <c r="AZ66" s="88"/>
      <c r="BA66" s="88"/>
      <c r="BB66" s="89"/>
    </row>
    <row r="67" spans="1:54" ht="31.8" x14ac:dyDescent="0.3">
      <c r="A67" s="50"/>
      <c r="B67" s="50"/>
      <c r="C67" s="50"/>
      <c r="D67" s="50"/>
      <c r="E67" s="50"/>
      <c r="F67" s="50"/>
      <c r="G67" s="50" t="s">
        <v>125</v>
      </c>
      <c r="H67" s="51">
        <v>920.16</v>
      </c>
      <c r="I67" s="51">
        <v>2249.3000000000002</v>
      </c>
      <c r="J67" s="51">
        <v>920.16</v>
      </c>
      <c r="K67" s="51">
        <v>920.16</v>
      </c>
      <c r="L67" s="51">
        <v>920.16</v>
      </c>
      <c r="M67" s="51">
        <v>920.16</v>
      </c>
      <c r="N67" s="51">
        <v>920.16</v>
      </c>
      <c r="O67" s="51">
        <v>920.16</v>
      </c>
      <c r="P67" s="51">
        <v>920.16</v>
      </c>
      <c r="Q67" s="51">
        <v>920.16</v>
      </c>
      <c r="R67" s="51">
        <v>1042.3699999999999</v>
      </c>
      <c r="S67" s="51">
        <v>1042.3499999999999</v>
      </c>
      <c r="T67" s="51"/>
      <c r="U67" s="51">
        <f>ROUND(SUM(H67:T67),5)</f>
        <v>12615.46</v>
      </c>
      <c r="V67" s="67">
        <v>22000</v>
      </c>
      <c r="W67" s="67">
        <v>22000</v>
      </c>
      <c r="X67" s="68" t="s">
        <v>256</v>
      </c>
      <c r="AB67" s="86"/>
      <c r="AC67" s="86"/>
      <c r="AD67" s="86"/>
      <c r="AE67" s="86"/>
      <c r="AF67" s="86"/>
      <c r="AG67" s="86" t="s">
        <v>125</v>
      </c>
      <c r="AH67" s="87"/>
      <c r="AI67" s="87"/>
      <c r="AJ67" s="87"/>
      <c r="AK67" s="87"/>
      <c r="AL67" s="87">
        <v>1042.3699999999999</v>
      </c>
      <c r="AM67" s="87">
        <v>1042.3699999999999</v>
      </c>
      <c r="AN67" s="87">
        <v>3266.71</v>
      </c>
      <c r="AO67" s="87">
        <v>1042.3699999999999</v>
      </c>
      <c r="AP67" s="87">
        <v>1042.3699999999999</v>
      </c>
      <c r="AQ67" s="87">
        <v>1042.3699999999999</v>
      </c>
      <c r="AR67" s="87">
        <v>1042.3699999999999</v>
      </c>
      <c r="AS67" s="87">
        <v>1042.3699999999999</v>
      </c>
      <c r="AT67" s="87">
        <v>1042.3699999999999</v>
      </c>
      <c r="AU67" s="87">
        <v>1042.3699999999999</v>
      </c>
      <c r="AV67" s="87">
        <v>1590.57</v>
      </c>
      <c r="AW67" s="87">
        <v>1590.51</v>
      </c>
      <c r="AX67" s="87"/>
      <c r="AY67" s="88">
        <f>ROUND(SUM(AH67:AX67),5)</f>
        <v>15829.12</v>
      </c>
      <c r="AZ67" s="88">
        <v>17000</v>
      </c>
      <c r="BA67" s="88">
        <v>22000</v>
      </c>
      <c r="BB67" s="89" t="s">
        <v>256</v>
      </c>
    </row>
    <row r="68" spans="1:54" x14ac:dyDescent="0.3">
      <c r="A68" s="50"/>
      <c r="B68" s="50"/>
      <c r="C68" s="50"/>
      <c r="D68" s="50"/>
      <c r="E68" s="50"/>
      <c r="F68" s="50"/>
      <c r="G68" s="50" t="s">
        <v>199</v>
      </c>
      <c r="H68" s="51">
        <v>0</v>
      </c>
      <c r="I68" s="51">
        <v>0</v>
      </c>
      <c r="J68" s="51">
        <v>0</v>
      </c>
      <c r="K68" s="51">
        <v>0</v>
      </c>
      <c r="L68" s="51">
        <v>0</v>
      </c>
      <c r="M68" s="51">
        <v>0</v>
      </c>
      <c r="N68" s="51">
        <v>0</v>
      </c>
      <c r="O68" s="51">
        <v>0</v>
      </c>
      <c r="P68" s="51">
        <v>0</v>
      </c>
      <c r="Q68" s="51">
        <v>0</v>
      </c>
      <c r="R68" s="51">
        <v>0</v>
      </c>
      <c r="S68" s="51">
        <v>0</v>
      </c>
      <c r="T68" s="51">
        <v>0</v>
      </c>
      <c r="U68" s="51">
        <v>0</v>
      </c>
      <c r="V68" s="67">
        <v>1600</v>
      </c>
      <c r="W68" s="67">
        <v>1500</v>
      </c>
      <c r="AB68" s="86"/>
      <c r="AC68" s="86"/>
      <c r="AD68" s="86"/>
      <c r="AE68" s="86"/>
      <c r="AF68" s="86"/>
      <c r="AG68" s="86" t="s">
        <v>199</v>
      </c>
      <c r="AH68" s="87"/>
      <c r="AI68" s="87"/>
      <c r="AJ68" s="87"/>
      <c r="AK68" s="87"/>
      <c r="AL68" s="87">
        <v>0</v>
      </c>
      <c r="AM68" s="87">
        <v>0</v>
      </c>
      <c r="AN68" s="87">
        <v>0</v>
      </c>
      <c r="AO68" s="87">
        <v>0</v>
      </c>
      <c r="AP68" s="87">
        <v>0</v>
      </c>
      <c r="AQ68" s="87">
        <v>0</v>
      </c>
      <c r="AR68" s="87">
        <v>0</v>
      </c>
      <c r="AS68" s="87">
        <v>0</v>
      </c>
      <c r="AT68" s="87">
        <v>0</v>
      </c>
      <c r="AU68" s="87">
        <v>0</v>
      </c>
      <c r="AV68" s="87">
        <v>0</v>
      </c>
      <c r="AW68" s="87">
        <v>0</v>
      </c>
      <c r="AX68" s="87"/>
      <c r="AY68" s="88">
        <f>ROUND(SUM(AH68:AX68),5)</f>
        <v>0</v>
      </c>
      <c r="AZ68" s="88">
        <v>1600</v>
      </c>
      <c r="BA68" s="88">
        <v>1600</v>
      </c>
      <c r="BB68" s="89"/>
    </row>
    <row r="69" spans="1:54" ht="15" thickBot="1" x14ac:dyDescent="0.35">
      <c r="A69" s="50"/>
      <c r="B69" s="50"/>
      <c r="C69" s="50"/>
      <c r="D69" s="50"/>
      <c r="E69" s="50"/>
      <c r="F69" s="50"/>
      <c r="G69" s="50" t="s">
        <v>126</v>
      </c>
      <c r="H69" s="51">
        <v>0.75</v>
      </c>
      <c r="I69" s="51">
        <v>22.5</v>
      </c>
      <c r="J69" s="51">
        <v>22.5</v>
      </c>
      <c r="K69" s="51">
        <v>22.5</v>
      </c>
      <c r="L69" s="51">
        <v>25.85</v>
      </c>
      <c r="M69" s="51">
        <v>94.84</v>
      </c>
      <c r="N69" s="51">
        <v>477</v>
      </c>
      <c r="O69" s="51">
        <v>266.7</v>
      </c>
      <c r="P69" s="51">
        <v>140.5</v>
      </c>
      <c r="Q69" s="51">
        <v>23.32</v>
      </c>
      <c r="R69" s="51">
        <v>0</v>
      </c>
      <c r="S69" s="51">
        <v>44.25</v>
      </c>
      <c r="T69" s="51"/>
      <c r="U69" s="51">
        <f>ROUND(SUM(H69:T69),5)</f>
        <v>1140.71</v>
      </c>
      <c r="V69" s="67">
        <v>2000</v>
      </c>
      <c r="W69" s="67">
        <v>2000</v>
      </c>
      <c r="AB69" s="86"/>
      <c r="AC69" s="86"/>
      <c r="AD69" s="86"/>
      <c r="AE69" s="86"/>
      <c r="AF69" s="86"/>
      <c r="AG69" s="86" t="s">
        <v>126</v>
      </c>
      <c r="AH69" s="87"/>
      <c r="AI69" s="87"/>
      <c r="AJ69" s="87"/>
      <c r="AK69" s="87"/>
      <c r="AL69" s="87">
        <v>3.07</v>
      </c>
      <c r="AM69" s="87">
        <v>24</v>
      </c>
      <c r="AN69" s="87">
        <v>24</v>
      </c>
      <c r="AO69" s="87">
        <v>48</v>
      </c>
      <c r="AP69" s="87">
        <v>0</v>
      </c>
      <c r="AQ69" s="87">
        <v>24</v>
      </c>
      <c r="AR69" s="87">
        <v>426.54</v>
      </c>
      <c r="AS69" s="87">
        <v>254.93</v>
      </c>
      <c r="AT69" s="87">
        <v>153.99</v>
      </c>
      <c r="AU69" s="87">
        <v>94.54</v>
      </c>
      <c r="AV69" s="87">
        <v>0</v>
      </c>
      <c r="AW69" s="87">
        <v>44.93</v>
      </c>
      <c r="AX69" s="87"/>
      <c r="AY69" s="88">
        <f>ROUND(SUM(AH69:AX69),5)</f>
        <v>1098</v>
      </c>
      <c r="AZ69" s="88">
        <v>2000</v>
      </c>
      <c r="BA69" s="88">
        <v>2000</v>
      </c>
      <c r="BB69" s="89"/>
    </row>
    <row r="70" spans="1:54" ht="15" thickBot="1" x14ac:dyDescent="0.35">
      <c r="A70" s="50"/>
      <c r="B70" s="50"/>
      <c r="C70" s="50"/>
      <c r="D70" s="50"/>
      <c r="E70" s="50"/>
      <c r="F70" s="50" t="s">
        <v>127</v>
      </c>
      <c r="G70" s="50"/>
      <c r="H70" s="53">
        <f t="shared" ref="H70:S70" si="28">ROUND(SUM(H66:H69),5)</f>
        <v>920.91</v>
      </c>
      <c r="I70" s="53">
        <f t="shared" si="28"/>
        <v>2271.8000000000002</v>
      </c>
      <c r="J70" s="53">
        <f t="shared" si="28"/>
        <v>942.66</v>
      </c>
      <c r="K70" s="53">
        <f t="shared" si="28"/>
        <v>942.66</v>
      </c>
      <c r="L70" s="53">
        <f t="shared" si="28"/>
        <v>946.01</v>
      </c>
      <c r="M70" s="53">
        <f t="shared" si="28"/>
        <v>1015</v>
      </c>
      <c r="N70" s="53">
        <f t="shared" si="28"/>
        <v>1397.16</v>
      </c>
      <c r="O70" s="53">
        <f t="shared" si="28"/>
        <v>1186.8599999999999</v>
      </c>
      <c r="P70" s="53">
        <f t="shared" si="28"/>
        <v>1060.6600000000001</v>
      </c>
      <c r="Q70" s="53">
        <f t="shared" si="28"/>
        <v>943.48</v>
      </c>
      <c r="R70" s="53">
        <f t="shared" si="28"/>
        <v>1042.3699999999999</v>
      </c>
      <c r="S70" s="53">
        <f t="shared" si="28"/>
        <v>1086.5999999999999</v>
      </c>
      <c r="T70" s="53"/>
      <c r="U70" s="53">
        <f>ROUND(SUM(H70:T70),5)</f>
        <v>13756.17</v>
      </c>
      <c r="V70" s="53">
        <f>ROUND(SUM(V66:V69),5)</f>
        <v>25600</v>
      </c>
      <c r="W70" s="53">
        <f>ROUND(SUM(W66:W69),5)</f>
        <v>25500</v>
      </c>
      <c r="AB70" s="86"/>
      <c r="AC70" s="86"/>
      <c r="AD70" s="86"/>
      <c r="AE70" s="86" t="s">
        <v>128</v>
      </c>
      <c r="AF70" s="86" t="s">
        <v>127</v>
      </c>
      <c r="AG70" s="86"/>
      <c r="AH70" s="93"/>
      <c r="AI70" s="93"/>
      <c r="AJ70" s="93"/>
      <c r="AK70" s="93"/>
      <c r="AL70" s="93">
        <f t="shared" ref="AL70:AW70" si="29">ROUND(SUM(AL66:AL69),5)</f>
        <v>1045.44</v>
      </c>
      <c r="AM70" s="93">
        <f t="shared" si="29"/>
        <v>1066.3699999999999</v>
      </c>
      <c r="AN70" s="93">
        <f t="shared" si="29"/>
        <v>3290.71</v>
      </c>
      <c r="AO70" s="93">
        <f t="shared" si="29"/>
        <v>1090.3699999999999</v>
      </c>
      <c r="AP70" s="93">
        <f t="shared" si="29"/>
        <v>1042.3699999999999</v>
      </c>
      <c r="AQ70" s="93">
        <f t="shared" si="29"/>
        <v>1066.3699999999999</v>
      </c>
      <c r="AR70" s="93">
        <f t="shared" si="29"/>
        <v>1468.91</v>
      </c>
      <c r="AS70" s="93">
        <f t="shared" si="29"/>
        <v>1297.3</v>
      </c>
      <c r="AT70" s="93">
        <f t="shared" si="29"/>
        <v>1196.3599999999999</v>
      </c>
      <c r="AU70" s="93">
        <f t="shared" si="29"/>
        <v>1136.9100000000001</v>
      </c>
      <c r="AV70" s="93">
        <f t="shared" si="29"/>
        <v>1590.57</v>
      </c>
      <c r="AW70" s="93">
        <f t="shared" si="29"/>
        <v>1635.44</v>
      </c>
      <c r="AX70" s="93"/>
      <c r="AY70" s="94">
        <f>ROUND(SUM(AH70:AX70),5)</f>
        <v>16927.12</v>
      </c>
      <c r="AZ70" s="94">
        <f>ROUND(SUM(AZ66:AZ69),5)</f>
        <v>20600</v>
      </c>
      <c r="BA70" s="94">
        <f>ROUND(SUM(BA66:BA69),5)</f>
        <v>25600</v>
      </c>
      <c r="BB70" s="95"/>
    </row>
    <row r="71" spans="1:54" x14ac:dyDescent="0.3">
      <c r="A71" s="50"/>
      <c r="B71" s="50"/>
      <c r="C71" s="50"/>
      <c r="D71" s="50"/>
      <c r="E71" s="50" t="s">
        <v>128</v>
      </c>
      <c r="F71" s="50"/>
      <c r="G71" s="50"/>
      <c r="H71" s="51">
        <f t="shared" ref="H71:S71" si="30">ROUND(H41+H47+H52+H56+H60+H65+H70,5)</f>
        <v>20427.5</v>
      </c>
      <c r="I71" s="51">
        <f t="shared" si="30"/>
        <v>27733.33</v>
      </c>
      <c r="J71" s="51">
        <f t="shared" si="30"/>
        <v>23514.880000000001</v>
      </c>
      <c r="K71" s="51">
        <f t="shared" si="30"/>
        <v>33234.839999999997</v>
      </c>
      <c r="L71" s="51">
        <f t="shared" si="30"/>
        <v>23848.2</v>
      </c>
      <c r="M71" s="51">
        <f t="shared" si="30"/>
        <v>31970.85</v>
      </c>
      <c r="N71" s="51">
        <f t="shared" si="30"/>
        <v>45059.15</v>
      </c>
      <c r="O71" s="51">
        <f t="shared" si="30"/>
        <v>25780.14</v>
      </c>
      <c r="P71" s="51">
        <f t="shared" si="30"/>
        <v>26176.5</v>
      </c>
      <c r="Q71" s="51">
        <f t="shared" si="30"/>
        <v>36375.4</v>
      </c>
      <c r="R71" s="51">
        <f t="shared" si="30"/>
        <v>24146.48</v>
      </c>
      <c r="S71" s="51">
        <f t="shared" si="30"/>
        <v>30418.91</v>
      </c>
      <c r="T71" s="51"/>
      <c r="U71" s="51">
        <f>ROUND(SUM(H71:T71),5)</f>
        <v>348686.18</v>
      </c>
      <c r="V71" s="51">
        <f>ROUND(V41+V47+V52+V56+V60+V65+V70,5)</f>
        <v>470191</v>
      </c>
      <c r="W71" s="51">
        <f>ROUND(W41+W47+W52+W56+W60+W65+W70,5)</f>
        <v>443550</v>
      </c>
      <c r="AB71" s="86"/>
      <c r="AC71" s="86"/>
      <c r="AD71" s="86"/>
      <c r="AE71" s="86" t="s">
        <v>129</v>
      </c>
      <c r="AF71" s="86"/>
      <c r="AG71" s="86"/>
      <c r="AH71" s="87"/>
      <c r="AI71" s="87"/>
      <c r="AJ71" s="87"/>
      <c r="AK71" s="87"/>
      <c r="AL71" s="87">
        <f t="shared" ref="AL71:AW71" si="31">ROUND(AL41+AL50+AL56+AL60+AL65+AL70,5)</f>
        <v>16390.41</v>
      </c>
      <c r="AM71" s="87">
        <f t="shared" si="31"/>
        <v>24775.15</v>
      </c>
      <c r="AN71" s="87">
        <f t="shared" si="31"/>
        <v>22713.78</v>
      </c>
      <c r="AO71" s="87">
        <f t="shared" si="31"/>
        <v>37089.300000000003</v>
      </c>
      <c r="AP71" s="87">
        <f t="shared" si="31"/>
        <v>21281.85</v>
      </c>
      <c r="AQ71" s="87">
        <f t="shared" si="31"/>
        <v>25723.74</v>
      </c>
      <c r="AR71" s="87">
        <f t="shared" si="31"/>
        <v>32956.370000000003</v>
      </c>
      <c r="AS71" s="87">
        <f t="shared" si="31"/>
        <v>23897.8</v>
      </c>
      <c r="AT71" s="87">
        <f t="shared" si="31"/>
        <v>26043.08</v>
      </c>
      <c r="AU71" s="87">
        <f t="shared" si="31"/>
        <v>41853.379999999997</v>
      </c>
      <c r="AV71" s="87">
        <f t="shared" si="31"/>
        <v>37546.199999999997</v>
      </c>
      <c r="AW71" s="87">
        <f t="shared" si="31"/>
        <v>35336.639999999999</v>
      </c>
      <c r="AX71" s="87"/>
      <c r="AY71" s="88">
        <f>ROUND(SUM(AH71:AX71),5)</f>
        <v>345607.7</v>
      </c>
      <c r="AZ71" s="88">
        <f>ROUND(AZ41+AZ50+AZ56+AZ60+AZ65+AZ70,5)</f>
        <v>413380</v>
      </c>
      <c r="BA71" s="88">
        <f>ROUND(BA41+BA50+BA56+BA60+BA65+BA70,5)</f>
        <v>470191</v>
      </c>
      <c r="BB71" s="89"/>
    </row>
    <row r="72" spans="1:54" x14ac:dyDescent="0.3">
      <c r="A72" s="50"/>
      <c r="B72" s="50"/>
      <c r="C72" s="50"/>
      <c r="D72" s="50"/>
      <c r="E72" s="50" t="s">
        <v>129</v>
      </c>
      <c r="F72" s="50"/>
      <c r="G72" s="50"/>
      <c r="H72" s="51"/>
      <c r="I72" s="51"/>
      <c r="J72" s="51"/>
      <c r="K72" s="51"/>
      <c r="L72" s="51"/>
      <c r="M72" s="51"/>
      <c r="N72" s="51"/>
      <c r="O72" s="51"/>
      <c r="P72" s="51"/>
      <c r="Q72" s="51"/>
      <c r="R72" s="51"/>
      <c r="S72" s="51"/>
      <c r="T72" s="51"/>
      <c r="U72" s="51"/>
      <c r="V72" s="51"/>
      <c r="W72" s="51"/>
      <c r="AB72" s="86"/>
      <c r="AC72" s="86"/>
      <c r="AD72" s="86"/>
      <c r="AE72" s="86"/>
      <c r="AF72" s="86"/>
      <c r="AG72" s="86"/>
      <c r="AH72" s="87"/>
      <c r="AI72" s="87"/>
      <c r="AJ72" s="87"/>
      <c r="AK72" s="87"/>
      <c r="AL72" s="87"/>
      <c r="AM72" s="87"/>
      <c r="AN72" s="87"/>
      <c r="AO72" s="87"/>
      <c r="AP72" s="87"/>
      <c r="AQ72" s="87"/>
      <c r="AR72" s="87"/>
      <c r="AS72" s="87"/>
      <c r="AT72" s="87"/>
      <c r="AU72" s="87"/>
      <c r="AV72" s="87"/>
      <c r="AW72" s="87"/>
      <c r="AX72" s="87"/>
      <c r="AY72" s="88"/>
      <c r="AZ72" s="88"/>
      <c r="BA72" s="88"/>
      <c r="BB72" s="89"/>
    </row>
    <row r="73" spans="1:54" x14ac:dyDescent="0.3">
      <c r="A73" s="50"/>
      <c r="B73" s="50"/>
      <c r="C73" s="50"/>
      <c r="D73" s="50"/>
      <c r="E73" s="50"/>
      <c r="F73" s="50" t="s">
        <v>130</v>
      </c>
      <c r="G73" s="50"/>
      <c r="H73" s="51"/>
      <c r="I73" s="51"/>
      <c r="J73" s="51"/>
      <c r="K73" s="51"/>
      <c r="L73" s="51"/>
      <c r="M73" s="51"/>
      <c r="N73" s="51"/>
      <c r="O73" s="51"/>
      <c r="P73" s="51"/>
      <c r="Q73" s="51"/>
      <c r="R73" s="51"/>
      <c r="S73" s="51"/>
      <c r="T73" s="51"/>
      <c r="U73" s="51"/>
      <c r="V73" s="51"/>
      <c r="W73" s="51"/>
      <c r="AB73" s="86"/>
      <c r="AC73" s="86"/>
      <c r="AD73" s="86"/>
      <c r="AE73" s="86"/>
      <c r="AF73" s="86" t="s">
        <v>130</v>
      </c>
      <c r="AG73" s="86"/>
      <c r="AH73" s="87"/>
      <c r="AI73" s="87"/>
      <c r="AJ73" s="87"/>
      <c r="AK73" s="87"/>
      <c r="AL73" s="87"/>
      <c r="AM73" s="87"/>
      <c r="AN73" s="87"/>
      <c r="AO73" s="87"/>
      <c r="AP73" s="87"/>
      <c r="AQ73" s="87"/>
      <c r="AR73" s="87"/>
      <c r="AS73" s="87"/>
      <c r="AT73" s="87"/>
      <c r="AU73" s="87"/>
      <c r="AV73" s="87"/>
      <c r="AW73" s="87"/>
      <c r="AX73" s="87"/>
      <c r="AY73" s="88"/>
      <c r="AZ73" s="88"/>
      <c r="BA73" s="88"/>
      <c r="BB73" s="89"/>
    </row>
    <row r="74" spans="1:54" x14ac:dyDescent="0.3">
      <c r="A74" s="50"/>
      <c r="B74" s="50"/>
      <c r="C74" s="50"/>
      <c r="D74" s="50"/>
      <c r="E74" s="50"/>
      <c r="F74" s="50"/>
      <c r="G74" s="50" t="s">
        <v>131</v>
      </c>
      <c r="H74" s="51">
        <v>336.79</v>
      </c>
      <c r="I74" s="51">
        <v>343.57</v>
      </c>
      <c r="J74" s="51">
        <v>340.18</v>
      </c>
      <c r="K74" s="51">
        <v>340.18</v>
      </c>
      <c r="L74" s="51">
        <v>471.16</v>
      </c>
      <c r="M74" s="51">
        <v>340.18</v>
      </c>
      <c r="N74" s="51">
        <v>340.18</v>
      </c>
      <c r="O74" s="51">
        <v>340.18</v>
      </c>
      <c r="P74" s="51">
        <v>340.18</v>
      </c>
      <c r="Q74" s="51">
        <v>340.18</v>
      </c>
      <c r="R74" s="51">
        <v>336.79</v>
      </c>
      <c r="S74" s="51">
        <v>336.79</v>
      </c>
      <c r="T74" s="51"/>
      <c r="U74" s="51">
        <f>ROUND(SUM(H74:T74),5)</f>
        <v>4206.3599999999997</v>
      </c>
      <c r="V74" s="67">
        <v>4100</v>
      </c>
      <c r="W74" s="67">
        <v>4400</v>
      </c>
      <c r="AB74" s="86"/>
      <c r="AC74" s="86"/>
      <c r="AD74" s="86"/>
      <c r="AE74" s="86"/>
      <c r="AF74" s="86"/>
      <c r="AG74" s="86" t="s">
        <v>131</v>
      </c>
      <c r="AH74" s="87"/>
      <c r="AI74" s="87"/>
      <c r="AJ74" s="87"/>
      <c r="AK74" s="87"/>
      <c r="AL74" s="87">
        <v>265.27999999999997</v>
      </c>
      <c r="AM74" s="87">
        <v>329.08</v>
      </c>
      <c r="AN74" s="87">
        <v>297.18</v>
      </c>
      <c r="AO74" s="87">
        <v>297.18</v>
      </c>
      <c r="AP74" s="87">
        <v>297.18</v>
      </c>
      <c r="AQ74" s="87">
        <v>342.55</v>
      </c>
      <c r="AR74" s="87">
        <v>336.79</v>
      </c>
      <c r="AS74" s="87">
        <v>336.79</v>
      </c>
      <c r="AT74" s="87">
        <v>336.79</v>
      </c>
      <c r="AU74" s="87">
        <v>336.79</v>
      </c>
      <c r="AV74" s="87">
        <v>265.27999999999997</v>
      </c>
      <c r="AW74" s="87">
        <v>265.27999999999997</v>
      </c>
      <c r="AX74" s="87"/>
      <c r="AY74" s="88">
        <f>ROUND(SUM(AH74:AX74),5)</f>
        <v>3706.17</v>
      </c>
      <c r="AZ74" s="88">
        <v>3300</v>
      </c>
      <c r="BA74" s="88">
        <v>4100</v>
      </c>
      <c r="BB74" s="89" t="s">
        <v>250</v>
      </c>
    </row>
    <row r="75" spans="1:54" ht="15" thickBot="1" x14ac:dyDescent="0.35">
      <c r="A75" s="50"/>
      <c r="B75" s="50"/>
      <c r="C75" s="50"/>
      <c r="D75" s="50"/>
      <c r="E75" s="50"/>
      <c r="F75" s="50"/>
      <c r="G75" s="50" t="s">
        <v>132</v>
      </c>
      <c r="H75" s="52">
        <v>0</v>
      </c>
      <c r="I75" s="52">
        <v>613.13</v>
      </c>
      <c r="J75" s="52">
        <v>621.05999999999995</v>
      </c>
      <c r="K75" s="52">
        <v>649.05999999999995</v>
      </c>
      <c r="L75" s="52">
        <v>447.52</v>
      </c>
      <c r="M75" s="52">
        <v>449.1</v>
      </c>
      <c r="N75" s="52">
        <v>352.72</v>
      </c>
      <c r="O75" s="52">
        <v>368.99</v>
      </c>
      <c r="P75" s="52">
        <v>439.86</v>
      </c>
      <c r="Q75" s="52">
        <v>437.05</v>
      </c>
      <c r="R75" s="52">
        <v>448.73</v>
      </c>
      <c r="S75" s="52">
        <v>1125.5899999999999</v>
      </c>
      <c r="T75" s="52"/>
      <c r="U75" s="52">
        <f>ROUND(SUM(H75:T75),5)</f>
        <v>5952.81</v>
      </c>
      <c r="V75" s="69">
        <v>5500</v>
      </c>
      <c r="W75" s="69">
        <v>6000</v>
      </c>
      <c r="AB75" s="86"/>
      <c r="AC75" s="86"/>
      <c r="AD75" s="86"/>
      <c r="AE75" s="86"/>
      <c r="AF75" s="86"/>
      <c r="AG75" s="86" t="s">
        <v>132</v>
      </c>
      <c r="AH75" s="90"/>
      <c r="AI75" s="90"/>
      <c r="AJ75" s="90"/>
      <c r="AK75" s="90"/>
      <c r="AL75" s="90">
        <v>0</v>
      </c>
      <c r="AM75" s="90">
        <v>563.13</v>
      </c>
      <c r="AN75" s="90">
        <v>558</v>
      </c>
      <c r="AO75" s="90">
        <v>564.51</v>
      </c>
      <c r="AP75" s="90">
        <v>381.22</v>
      </c>
      <c r="AQ75" s="90">
        <v>394.29</v>
      </c>
      <c r="AR75" s="90">
        <v>348.74</v>
      </c>
      <c r="AS75" s="90">
        <v>330.04</v>
      </c>
      <c r="AT75" s="90">
        <v>387.21</v>
      </c>
      <c r="AU75" s="90">
        <v>320.44</v>
      </c>
      <c r="AV75" s="90">
        <v>350.52</v>
      </c>
      <c r="AW75" s="90">
        <v>939.43</v>
      </c>
      <c r="AX75" s="90"/>
      <c r="AY75" s="91">
        <f>ROUND(SUM(AH75:AX75),5)</f>
        <v>5137.53</v>
      </c>
      <c r="AZ75" s="91">
        <v>5000</v>
      </c>
      <c r="BA75" s="91">
        <v>5500</v>
      </c>
      <c r="BB75" s="92"/>
    </row>
    <row r="76" spans="1:54" x14ac:dyDescent="0.3">
      <c r="A76" s="50"/>
      <c r="B76" s="50"/>
      <c r="C76" s="50"/>
      <c r="D76" s="50"/>
      <c r="E76" s="50"/>
      <c r="F76" s="50" t="s">
        <v>133</v>
      </c>
      <c r="G76" s="50"/>
      <c r="H76" s="51">
        <f t="shared" ref="H76:P76" si="32">ROUND(SUM(H73:H75),5)</f>
        <v>336.79</v>
      </c>
      <c r="I76" s="51">
        <f t="shared" si="32"/>
        <v>956.7</v>
      </c>
      <c r="J76" s="51">
        <f t="shared" si="32"/>
        <v>961.24</v>
      </c>
      <c r="K76" s="51">
        <f t="shared" si="32"/>
        <v>989.24</v>
      </c>
      <c r="L76" s="51">
        <f t="shared" si="32"/>
        <v>918.68</v>
      </c>
      <c r="M76" s="51">
        <f t="shared" si="32"/>
        <v>789.28</v>
      </c>
      <c r="N76" s="51">
        <f t="shared" si="32"/>
        <v>692.9</v>
      </c>
      <c r="O76" s="51">
        <f t="shared" si="32"/>
        <v>709.17</v>
      </c>
      <c r="P76" s="51">
        <f t="shared" si="32"/>
        <v>780.04</v>
      </c>
      <c r="Q76" s="51">
        <f>ROUND(SUM(Q73:Q75),5)</f>
        <v>777.23</v>
      </c>
      <c r="R76" s="51">
        <f>ROUND(SUM(R73:R75),5)</f>
        <v>785.52</v>
      </c>
      <c r="S76" s="51">
        <f>ROUND(SUM(S73:S75),5)</f>
        <v>1462.38</v>
      </c>
      <c r="T76" s="51"/>
      <c r="U76" s="51">
        <f>ROUND(SUM(H76:T76),5)</f>
        <v>10159.17</v>
      </c>
      <c r="V76" s="51">
        <f>ROUND(SUM(V73:V75),5)</f>
        <v>9600</v>
      </c>
      <c r="W76" s="51">
        <f>ROUND(SUM(W73:W75),5)</f>
        <v>10400</v>
      </c>
      <c r="AB76" s="86"/>
      <c r="AC76" s="86"/>
      <c r="AD76" s="86"/>
      <c r="AE76" s="86"/>
      <c r="AF76" s="86" t="s">
        <v>133</v>
      </c>
      <c r="AG76" s="86"/>
      <c r="AH76" s="87"/>
      <c r="AI76" s="87"/>
      <c r="AJ76" s="87"/>
      <c r="AK76" s="87"/>
      <c r="AL76" s="87">
        <f t="shared" ref="AL76:AW76" si="33">ROUND(SUM(AL73:AL75),5)</f>
        <v>265.27999999999997</v>
      </c>
      <c r="AM76" s="87">
        <f t="shared" si="33"/>
        <v>892.21</v>
      </c>
      <c r="AN76" s="87">
        <f t="shared" si="33"/>
        <v>855.18</v>
      </c>
      <c r="AO76" s="87">
        <f t="shared" si="33"/>
        <v>861.69</v>
      </c>
      <c r="AP76" s="87">
        <f t="shared" si="33"/>
        <v>678.4</v>
      </c>
      <c r="AQ76" s="87">
        <f t="shared" si="33"/>
        <v>736.84</v>
      </c>
      <c r="AR76" s="87">
        <f t="shared" si="33"/>
        <v>685.53</v>
      </c>
      <c r="AS76" s="87">
        <f t="shared" si="33"/>
        <v>666.83</v>
      </c>
      <c r="AT76" s="87">
        <f t="shared" si="33"/>
        <v>724</v>
      </c>
      <c r="AU76" s="87">
        <f t="shared" si="33"/>
        <v>657.23</v>
      </c>
      <c r="AV76" s="87">
        <f t="shared" si="33"/>
        <v>615.79999999999995</v>
      </c>
      <c r="AW76" s="87">
        <f t="shared" si="33"/>
        <v>1204.71</v>
      </c>
      <c r="AX76" s="87"/>
      <c r="AY76" s="88">
        <f>ROUND(SUM(AH76:AX76),5)</f>
        <v>8843.7000000000007</v>
      </c>
      <c r="AZ76" s="88">
        <f>ROUND(SUM(AZ73:AZ75),5)</f>
        <v>8300</v>
      </c>
      <c r="BA76" s="88">
        <f>ROUND(SUM(BA73:BA75),5)</f>
        <v>9600</v>
      </c>
      <c r="BB76" s="89"/>
    </row>
    <row r="77" spans="1:54" x14ac:dyDescent="0.3">
      <c r="A77" s="50"/>
      <c r="B77" s="50"/>
      <c r="C77" s="50"/>
      <c r="D77" s="50"/>
      <c r="E77" s="50"/>
      <c r="F77" s="50"/>
      <c r="G77" s="50"/>
      <c r="H77" s="51"/>
      <c r="I77" s="51"/>
      <c r="J77" s="51"/>
      <c r="K77" s="51"/>
      <c r="L77" s="51"/>
      <c r="M77" s="51"/>
      <c r="N77" s="51"/>
      <c r="O77" s="51"/>
      <c r="P77" s="51"/>
      <c r="Q77" s="51"/>
      <c r="R77" s="51"/>
      <c r="S77" s="51"/>
      <c r="T77" s="51"/>
      <c r="U77" s="51"/>
      <c r="V77" s="51"/>
      <c r="W77" s="51"/>
      <c r="AB77" s="86"/>
      <c r="AC77" s="86"/>
      <c r="AD77" s="86"/>
      <c r="AE77" s="86"/>
      <c r="AF77" s="86"/>
      <c r="AG77" s="86"/>
      <c r="AH77" s="87"/>
      <c r="AI77" s="87"/>
      <c r="AJ77" s="87"/>
      <c r="AK77" s="87"/>
      <c r="AL77" s="87"/>
      <c r="AM77" s="87"/>
      <c r="AN77" s="87"/>
      <c r="AO77" s="87"/>
      <c r="AP77" s="87"/>
      <c r="AQ77" s="87"/>
      <c r="AR77" s="87"/>
      <c r="AS77" s="87"/>
      <c r="AT77" s="87"/>
      <c r="AU77" s="87"/>
      <c r="AV77" s="87"/>
      <c r="AW77" s="87"/>
      <c r="AX77" s="87"/>
      <c r="AY77" s="88"/>
      <c r="AZ77" s="88"/>
      <c r="BA77" s="88"/>
      <c r="BB77" s="89"/>
    </row>
    <row r="78" spans="1:54" x14ac:dyDescent="0.3">
      <c r="A78" s="50"/>
      <c r="B78" s="50"/>
      <c r="C78" s="50"/>
      <c r="D78" s="50"/>
      <c r="E78" s="50"/>
      <c r="F78" s="50"/>
      <c r="G78" s="50"/>
      <c r="H78" s="51"/>
      <c r="I78" s="51"/>
      <c r="J78" s="51"/>
      <c r="K78" s="51"/>
      <c r="L78" s="51"/>
      <c r="M78" s="51"/>
      <c r="N78" s="51"/>
      <c r="O78" s="51"/>
      <c r="P78" s="51"/>
      <c r="Q78" s="51"/>
      <c r="R78" s="51"/>
      <c r="S78" s="51"/>
      <c r="T78" s="51"/>
      <c r="U78" s="51"/>
      <c r="V78" s="51"/>
      <c r="W78" s="51"/>
      <c r="AB78" s="86"/>
      <c r="AC78" s="86"/>
      <c r="AD78" s="86"/>
      <c r="AE78" s="86"/>
      <c r="AF78" s="86"/>
      <c r="AG78" s="86"/>
      <c r="AH78" s="87"/>
      <c r="AI78" s="87"/>
      <c r="AJ78" s="87"/>
      <c r="AK78" s="87"/>
      <c r="AL78" s="87"/>
      <c r="AM78" s="87"/>
      <c r="AN78" s="87"/>
      <c r="AO78" s="87"/>
      <c r="AP78" s="87"/>
      <c r="AQ78" s="87"/>
      <c r="AR78" s="87"/>
      <c r="AS78" s="87"/>
      <c r="AT78" s="87"/>
      <c r="AU78" s="87"/>
      <c r="AV78" s="87"/>
      <c r="AW78" s="87"/>
      <c r="AX78" s="87"/>
      <c r="AY78" s="88"/>
      <c r="AZ78" s="88"/>
      <c r="BA78" s="88"/>
      <c r="BB78" s="89"/>
    </row>
    <row r="79" spans="1:54" x14ac:dyDescent="0.3">
      <c r="A79" s="50"/>
      <c r="B79" s="50"/>
      <c r="C79" s="50"/>
      <c r="D79" s="50"/>
      <c r="E79" s="50"/>
      <c r="F79" s="50"/>
      <c r="G79" s="50"/>
      <c r="H79" s="51"/>
      <c r="I79" s="51"/>
      <c r="J79" s="51"/>
      <c r="K79" s="51"/>
      <c r="L79" s="51"/>
      <c r="M79" s="51"/>
      <c r="N79" s="51"/>
      <c r="O79" s="51"/>
      <c r="P79" s="51"/>
      <c r="Q79" s="51"/>
      <c r="R79" s="51"/>
      <c r="S79" s="51"/>
      <c r="T79" s="51"/>
      <c r="U79" s="51"/>
      <c r="V79" s="51"/>
      <c r="W79" s="51"/>
      <c r="AB79" s="86"/>
      <c r="AC79" s="86"/>
      <c r="AD79" s="86"/>
      <c r="AE79" s="86"/>
      <c r="AF79" s="86"/>
      <c r="AG79" s="86"/>
      <c r="AH79" s="87"/>
      <c r="AI79" s="87"/>
      <c r="AJ79" s="87"/>
      <c r="AK79" s="87"/>
      <c r="AL79" s="87"/>
      <c r="AM79" s="87"/>
      <c r="AN79" s="87"/>
      <c r="AO79" s="87"/>
      <c r="AP79" s="87"/>
      <c r="AQ79" s="87"/>
      <c r="AR79" s="87"/>
      <c r="AS79" s="87"/>
      <c r="AT79" s="87"/>
      <c r="AU79" s="87"/>
      <c r="AV79" s="87"/>
      <c r="AW79" s="87"/>
      <c r="AX79" s="87"/>
      <c r="AY79" s="88"/>
      <c r="AZ79" s="88"/>
      <c r="BA79" s="88"/>
      <c r="BB79" s="89"/>
    </row>
    <row r="80" spans="1:54" x14ac:dyDescent="0.3">
      <c r="A80" s="50"/>
      <c r="B80" s="50"/>
      <c r="C80" s="50"/>
      <c r="D80" s="50"/>
      <c r="E80" s="50"/>
      <c r="F80" s="50"/>
      <c r="G80" s="50"/>
      <c r="H80" s="51"/>
      <c r="I80" s="51"/>
      <c r="J80" s="51"/>
      <c r="K80" s="51"/>
      <c r="L80" s="51"/>
      <c r="M80" s="51"/>
      <c r="N80" s="51"/>
      <c r="O80" s="51"/>
      <c r="P80" s="51"/>
      <c r="Q80" s="51"/>
      <c r="R80" s="51"/>
      <c r="S80" s="51"/>
      <c r="T80" s="51"/>
      <c r="U80" s="51"/>
      <c r="V80" s="51"/>
      <c r="W80" s="51"/>
      <c r="AB80" s="86"/>
      <c r="AC80" s="86"/>
      <c r="AD80" s="86"/>
      <c r="AE80" s="86"/>
      <c r="AF80" s="86"/>
      <c r="AG80" s="86"/>
      <c r="AH80" s="87"/>
      <c r="AI80" s="87"/>
      <c r="AJ80" s="87"/>
      <c r="AK80" s="87"/>
      <c r="AL80" s="87"/>
      <c r="AM80" s="87"/>
      <c r="AN80" s="87"/>
      <c r="AO80" s="87"/>
      <c r="AP80" s="87"/>
      <c r="AQ80" s="87"/>
      <c r="AR80" s="87"/>
      <c r="AS80" s="87"/>
      <c r="AT80" s="87"/>
      <c r="AU80" s="87"/>
      <c r="AV80" s="87"/>
      <c r="AW80" s="87"/>
      <c r="AX80" s="87"/>
      <c r="AY80" s="88"/>
      <c r="AZ80" s="88"/>
      <c r="BA80" s="88"/>
      <c r="BB80" s="89"/>
    </row>
    <row r="81" spans="1:54" x14ac:dyDescent="0.3">
      <c r="A81" s="50"/>
      <c r="B81" s="50"/>
      <c r="C81" s="50"/>
      <c r="D81" s="50"/>
      <c r="E81" s="50"/>
      <c r="F81" s="50"/>
      <c r="G81" s="50"/>
      <c r="H81" s="51"/>
      <c r="I81" s="51"/>
      <c r="J81" s="51"/>
      <c r="K81" s="51"/>
      <c r="L81" s="51"/>
      <c r="M81" s="51"/>
      <c r="N81" s="51"/>
      <c r="O81" s="51"/>
      <c r="P81" s="51"/>
      <c r="Q81" s="51"/>
      <c r="R81" s="51"/>
      <c r="S81" s="51"/>
      <c r="T81" s="51"/>
      <c r="U81" s="51"/>
      <c r="V81" s="51"/>
      <c r="W81" s="51"/>
      <c r="AB81" s="86"/>
      <c r="AC81" s="86"/>
      <c r="AD81" s="86"/>
      <c r="AE81" s="86"/>
      <c r="AF81" s="86"/>
      <c r="AG81" s="86"/>
      <c r="AH81" s="87"/>
      <c r="AI81" s="87"/>
      <c r="AJ81" s="87"/>
      <c r="AK81" s="87"/>
      <c r="AL81" s="87"/>
      <c r="AM81" s="87"/>
      <c r="AN81" s="87"/>
      <c r="AO81" s="87"/>
      <c r="AP81" s="87"/>
      <c r="AQ81" s="87"/>
      <c r="AR81" s="87"/>
      <c r="AS81" s="87"/>
      <c r="AT81" s="87"/>
      <c r="AU81" s="87"/>
      <c r="AV81" s="87"/>
      <c r="AW81" s="87"/>
      <c r="AX81" s="87"/>
      <c r="AY81" s="88"/>
      <c r="AZ81" s="88"/>
      <c r="BA81" s="88"/>
      <c r="BB81" s="89"/>
    </row>
    <row r="82" spans="1:54" x14ac:dyDescent="0.3">
      <c r="A82" s="50"/>
      <c r="B82" s="50"/>
      <c r="C82" s="50"/>
      <c r="D82" s="50"/>
      <c r="E82" s="50"/>
      <c r="F82" s="50"/>
      <c r="G82" s="50"/>
      <c r="H82" s="51"/>
      <c r="I82" s="51"/>
      <c r="J82" s="51"/>
      <c r="K82" s="51"/>
      <c r="L82" s="51"/>
      <c r="M82" s="51"/>
      <c r="N82" s="51"/>
      <c r="O82" s="51"/>
      <c r="P82" s="51"/>
      <c r="Q82" s="51"/>
      <c r="R82" s="51"/>
      <c r="S82" s="51"/>
      <c r="T82" s="51"/>
      <c r="U82" s="51"/>
      <c r="V82" s="51"/>
      <c r="W82" s="51"/>
      <c r="AB82" s="86"/>
      <c r="AC82" s="86"/>
      <c r="AD82" s="86"/>
      <c r="AE82" s="86"/>
      <c r="AF82" s="86"/>
      <c r="AG82" s="86"/>
      <c r="AH82" s="87"/>
      <c r="AI82" s="87"/>
      <c r="AJ82" s="87"/>
      <c r="AK82" s="87"/>
      <c r="AL82" s="87"/>
      <c r="AM82" s="87"/>
      <c r="AN82" s="87"/>
      <c r="AO82" s="87"/>
      <c r="AP82" s="87"/>
      <c r="AQ82" s="87"/>
      <c r="AR82" s="87"/>
      <c r="AS82" s="87"/>
      <c r="AT82" s="87"/>
      <c r="AU82" s="87"/>
      <c r="AV82" s="87"/>
      <c r="AW82" s="87"/>
      <c r="AX82" s="87"/>
      <c r="AY82" s="88"/>
      <c r="AZ82" s="88"/>
      <c r="BA82" s="88"/>
      <c r="BB82" s="89"/>
    </row>
    <row r="83" spans="1:54" x14ac:dyDescent="0.3">
      <c r="A83" s="50"/>
      <c r="B83" s="50"/>
      <c r="C83" s="50"/>
      <c r="D83" s="50"/>
      <c r="E83" s="50"/>
      <c r="F83" s="50"/>
      <c r="G83" s="50"/>
      <c r="H83" s="51"/>
      <c r="I83" s="51"/>
      <c r="J83" s="51"/>
      <c r="K83" s="51"/>
      <c r="L83" s="51"/>
      <c r="M83" s="51"/>
      <c r="N83" s="51"/>
      <c r="O83" s="51"/>
      <c r="P83" s="51"/>
      <c r="Q83" s="51"/>
      <c r="R83" s="51"/>
      <c r="S83" s="51"/>
      <c r="T83" s="51"/>
      <c r="U83" s="51"/>
      <c r="V83" s="51"/>
      <c r="W83" s="51"/>
      <c r="AB83" s="86"/>
      <c r="AC83" s="86"/>
      <c r="AD83" s="86"/>
      <c r="AE83" s="86"/>
      <c r="AF83" s="86"/>
      <c r="AG83" s="86"/>
      <c r="AH83" s="87"/>
      <c r="AI83" s="87"/>
      <c r="AJ83" s="87"/>
      <c r="AK83" s="87"/>
      <c r="AL83" s="87"/>
      <c r="AM83" s="87"/>
      <c r="AN83" s="87"/>
      <c r="AO83" s="87"/>
      <c r="AP83" s="87"/>
      <c r="AQ83" s="87"/>
      <c r="AR83" s="87"/>
      <c r="AS83" s="87"/>
      <c r="AT83" s="87"/>
      <c r="AU83" s="87"/>
      <c r="AV83" s="87"/>
      <c r="AW83" s="87"/>
      <c r="AX83" s="87"/>
      <c r="AY83" s="88"/>
      <c r="AZ83" s="88"/>
      <c r="BA83" s="88"/>
      <c r="BB83" s="89"/>
    </row>
    <row r="84" spans="1:54" x14ac:dyDescent="0.3">
      <c r="A84" s="50"/>
      <c r="B84" s="50"/>
      <c r="C84" s="50"/>
      <c r="D84" s="50"/>
      <c r="E84" s="50"/>
      <c r="F84" s="50"/>
      <c r="G84" s="50"/>
      <c r="H84" s="51"/>
      <c r="I84" s="51"/>
      <c r="J84" s="51"/>
      <c r="K84" s="51"/>
      <c r="L84" s="51"/>
      <c r="M84" s="51"/>
      <c r="N84" s="51"/>
      <c r="O84" s="51"/>
      <c r="P84" s="51"/>
      <c r="Q84" s="51"/>
      <c r="R84" s="51"/>
      <c r="S84" s="51"/>
      <c r="T84" s="51"/>
      <c r="U84" s="51"/>
      <c r="V84" s="51"/>
      <c r="W84" s="51"/>
      <c r="AB84" s="86"/>
      <c r="AC84" s="86"/>
      <c r="AD84" s="86"/>
      <c r="AE84" s="86"/>
      <c r="AF84" s="86"/>
      <c r="AG84" s="86"/>
      <c r="AH84" s="87"/>
      <c r="AI84" s="87"/>
      <c r="AJ84" s="87"/>
      <c r="AK84" s="87"/>
      <c r="AL84" s="87"/>
      <c r="AM84" s="87"/>
      <c r="AN84" s="87"/>
      <c r="AO84" s="87"/>
      <c r="AP84" s="87"/>
      <c r="AQ84" s="87"/>
      <c r="AR84" s="87"/>
      <c r="AS84" s="87"/>
      <c r="AT84" s="87"/>
      <c r="AU84" s="87"/>
      <c r="AV84" s="87"/>
      <c r="AW84" s="87"/>
      <c r="AX84" s="87"/>
      <c r="AY84" s="88"/>
      <c r="AZ84" s="88"/>
      <c r="BA84" s="88"/>
      <c r="BB84" s="89"/>
    </row>
    <row r="85" spans="1:54" x14ac:dyDescent="0.3">
      <c r="A85" s="50"/>
      <c r="B85" s="50"/>
      <c r="C85" s="50"/>
      <c r="D85" s="50"/>
      <c r="E85" s="50"/>
      <c r="F85" s="50"/>
      <c r="G85" s="50"/>
      <c r="H85" s="51"/>
      <c r="I85" s="51"/>
      <c r="J85" s="51"/>
      <c r="K85" s="51"/>
      <c r="L85" s="51"/>
      <c r="M85" s="51"/>
      <c r="N85" s="51"/>
      <c r="O85" s="51"/>
      <c r="P85" s="51"/>
      <c r="Q85" s="51"/>
      <c r="R85" s="51"/>
      <c r="S85" s="51"/>
      <c r="T85" s="51"/>
      <c r="U85" s="51"/>
      <c r="V85" s="51"/>
      <c r="W85" s="51"/>
      <c r="AB85" s="86"/>
      <c r="AC85" s="86"/>
      <c r="AD85" s="86"/>
      <c r="AE85" s="86"/>
      <c r="AF85" s="86"/>
      <c r="AG85" s="86"/>
      <c r="AH85" s="87"/>
      <c r="AI85" s="87"/>
      <c r="AJ85" s="87"/>
      <c r="AK85" s="87"/>
      <c r="AL85" s="87"/>
      <c r="AM85" s="87"/>
      <c r="AN85" s="87"/>
      <c r="AO85" s="87"/>
      <c r="AP85" s="87"/>
      <c r="AQ85" s="87"/>
      <c r="AR85" s="87"/>
      <c r="AS85" s="87"/>
      <c r="AT85" s="87"/>
      <c r="AU85" s="87"/>
      <c r="AV85" s="87"/>
      <c r="AW85" s="87"/>
      <c r="AX85" s="87"/>
      <c r="AY85" s="88"/>
      <c r="AZ85" s="88"/>
      <c r="BA85" s="88"/>
      <c r="BB85" s="89"/>
    </row>
    <row r="86" spans="1:54" x14ac:dyDescent="0.3">
      <c r="A86" s="50"/>
      <c r="B86" s="50"/>
      <c r="C86" s="50"/>
      <c r="D86" s="50"/>
      <c r="E86" s="50"/>
      <c r="F86" s="50"/>
      <c r="G86" s="50"/>
      <c r="H86" s="51"/>
      <c r="I86" s="51"/>
      <c r="J86" s="51"/>
      <c r="K86" s="51"/>
      <c r="L86" s="51"/>
      <c r="M86" s="51"/>
      <c r="N86" s="51"/>
      <c r="O86" s="51"/>
      <c r="P86" s="51"/>
      <c r="Q86" s="51"/>
      <c r="R86" s="51"/>
      <c r="S86" s="51"/>
      <c r="T86" s="51"/>
      <c r="U86" s="51"/>
      <c r="V86" s="51"/>
      <c r="W86" s="51"/>
      <c r="AB86" s="86"/>
      <c r="AC86" s="86"/>
      <c r="AD86" s="86"/>
      <c r="AE86" s="86"/>
      <c r="AF86" s="86"/>
      <c r="AG86" s="86"/>
      <c r="AH86" s="87"/>
      <c r="AI86" s="87"/>
      <c r="AJ86" s="87"/>
      <c r="AK86" s="87"/>
      <c r="AL86" s="87"/>
      <c r="AM86" s="87"/>
      <c r="AN86" s="87"/>
      <c r="AO86" s="87"/>
      <c r="AP86" s="87"/>
      <c r="AQ86" s="87"/>
      <c r="AR86" s="87"/>
      <c r="AS86" s="87"/>
      <c r="AT86" s="87"/>
      <c r="AU86" s="87"/>
      <c r="AV86" s="87"/>
      <c r="AW86" s="87"/>
      <c r="AX86" s="87"/>
      <c r="AY86" s="88"/>
      <c r="AZ86" s="88"/>
      <c r="BA86" s="88"/>
      <c r="BB86" s="89"/>
    </row>
    <row r="87" spans="1:54" x14ac:dyDescent="0.3">
      <c r="A87" s="50"/>
      <c r="B87" s="50"/>
      <c r="C87" s="50"/>
      <c r="D87" s="50"/>
      <c r="E87" s="50"/>
      <c r="F87" s="50"/>
      <c r="G87" s="50"/>
      <c r="H87" s="51"/>
      <c r="I87" s="51"/>
      <c r="J87" s="51"/>
      <c r="K87" s="51"/>
      <c r="L87" s="51"/>
      <c r="M87" s="51"/>
      <c r="N87" s="51"/>
      <c r="O87" s="51"/>
      <c r="P87" s="51"/>
      <c r="Q87" s="51"/>
      <c r="R87" s="51"/>
      <c r="S87" s="51"/>
      <c r="T87" s="51"/>
      <c r="U87" s="51"/>
      <c r="V87" s="51"/>
      <c r="W87" s="51"/>
      <c r="AB87" s="86"/>
      <c r="AC87" s="86"/>
      <c r="AD87" s="86"/>
      <c r="AE87" s="86"/>
      <c r="AF87" s="86"/>
      <c r="AG87" s="86"/>
      <c r="AH87" s="87"/>
      <c r="AI87" s="87"/>
      <c r="AJ87" s="87"/>
      <c r="AK87" s="87"/>
      <c r="AL87" s="87"/>
      <c r="AM87" s="87"/>
      <c r="AN87" s="87"/>
      <c r="AO87" s="87"/>
      <c r="AP87" s="87"/>
      <c r="AQ87" s="87"/>
      <c r="AR87" s="87"/>
      <c r="AS87" s="87"/>
      <c r="AT87" s="87"/>
      <c r="AU87" s="87"/>
      <c r="AV87" s="87"/>
      <c r="AW87" s="87"/>
      <c r="AX87" s="87"/>
      <c r="AY87" s="88"/>
      <c r="AZ87" s="88"/>
      <c r="BA87" s="88"/>
      <c r="BB87" s="89"/>
    </row>
    <row r="88" spans="1:54" x14ac:dyDescent="0.3">
      <c r="A88" s="50"/>
      <c r="B88" s="50"/>
      <c r="C88" s="50"/>
      <c r="D88" s="50"/>
      <c r="E88" s="50"/>
      <c r="F88" s="50"/>
      <c r="G88" s="50"/>
      <c r="H88" s="51"/>
      <c r="I88" s="51"/>
      <c r="J88" s="51"/>
      <c r="K88" s="51"/>
      <c r="L88" s="51"/>
      <c r="M88" s="51"/>
      <c r="N88" s="51"/>
      <c r="O88" s="51"/>
      <c r="P88" s="51"/>
      <c r="Q88" s="51"/>
      <c r="R88" s="51"/>
      <c r="S88" s="51"/>
      <c r="T88" s="51"/>
      <c r="U88" s="51"/>
      <c r="V88" s="51"/>
      <c r="W88" s="51"/>
      <c r="AB88" s="86"/>
      <c r="AC88" s="86"/>
      <c r="AD88" s="86"/>
      <c r="AE88" s="86"/>
      <c r="AF88" s="86"/>
      <c r="AG88" s="86"/>
      <c r="AH88" s="87"/>
      <c r="AI88" s="87"/>
      <c r="AJ88" s="87"/>
      <c r="AK88" s="87"/>
      <c r="AL88" s="87"/>
      <c r="AM88" s="87"/>
      <c r="AN88" s="87"/>
      <c r="AO88" s="87"/>
      <c r="AP88" s="87"/>
      <c r="AQ88" s="87"/>
      <c r="AR88" s="87"/>
      <c r="AS88" s="87"/>
      <c r="AT88" s="87"/>
      <c r="AU88" s="87"/>
      <c r="AV88" s="87"/>
      <c r="AW88" s="87"/>
      <c r="AX88" s="87"/>
      <c r="AY88" s="88"/>
      <c r="AZ88" s="88"/>
      <c r="BA88" s="88"/>
      <c r="BB88" s="89"/>
    </row>
    <row r="89" spans="1:54" x14ac:dyDescent="0.3">
      <c r="A89" s="50"/>
      <c r="B89" s="50"/>
      <c r="C89" s="50"/>
      <c r="D89" s="50"/>
      <c r="E89" s="50"/>
      <c r="F89" s="50"/>
      <c r="G89" s="50"/>
      <c r="H89" s="51"/>
      <c r="I89" s="51"/>
      <c r="J89" s="51"/>
      <c r="K89" s="51"/>
      <c r="L89" s="51"/>
      <c r="M89" s="51"/>
      <c r="N89" s="51"/>
      <c r="O89" s="51"/>
      <c r="P89" s="51"/>
      <c r="Q89" s="51"/>
      <c r="R89" s="51"/>
      <c r="S89" s="51"/>
      <c r="T89" s="51"/>
      <c r="U89" s="51"/>
      <c r="V89" s="51"/>
      <c r="W89" s="51"/>
      <c r="AB89" s="86"/>
      <c r="AC89" s="86"/>
      <c r="AD89" s="86"/>
      <c r="AE89" s="86"/>
      <c r="AF89" s="86"/>
      <c r="AG89" s="86"/>
      <c r="AH89" s="87"/>
      <c r="AI89" s="87"/>
      <c r="AJ89" s="87"/>
      <c r="AK89" s="87"/>
      <c r="AL89" s="87"/>
      <c r="AM89" s="87"/>
      <c r="AN89" s="87"/>
      <c r="AO89" s="87"/>
      <c r="AP89" s="87"/>
      <c r="AQ89" s="87"/>
      <c r="AR89" s="87"/>
      <c r="AS89" s="87"/>
      <c r="AT89" s="87"/>
      <c r="AU89" s="87"/>
      <c r="AV89" s="87"/>
      <c r="AW89" s="87"/>
      <c r="AX89" s="87"/>
      <c r="AY89" s="88"/>
      <c r="AZ89" s="88"/>
      <c r="BA89" s="88"/>
      <c r="BB89" s="89"/>
    </row>
    <row r="90" spans="1:54" x14ac:dyDescent="0.3">
      <c r="A90" s="50"/>
      <c r="B90" s="50"/>
      <c r="C90" s="50"/>
      <c r="D90" s="50"/>
      <c r="E90" s="50"/>
      <c r="F90" s="50"/>
      <c r="G90" s="50"/>
      <c r="H90" s="51"/>
      <c r="I90" s="51"/>
      <c r="J90" s="51"/>
      <c r="K90" s="51"/>
      <c r="L90" s="51"/>
      <c r="M90" s="51"/>
      <c r="N90" s="51"/>
      <c r="O90" s="51"/>
      <c r="P90" s="51"/>
      <c r="Q90" s="51"/>
      <c r="R90" s="51"/>
      <c r="S90" s="51"/>
      <c r="T90" s="51"/>
      <c r="U90" s="51"/>
      <c r="V90" s="51"/>
      <c r="W90" s="51"/>
      <c r="AB90" s="86"/>
      <c r="AC90" s="86"/>
      <c r="AD90" s="86"/>
      <c r="AE90" s="86"/>
      <c r="AF90" s="86"/>
      <c r="AG90" s="86"/>
      <c r="AH90" s="87"/>
      <c r="AI90" s="87"/>
      <c r="AJ90" s="87"/>
      <c r="AK90" s="87"/>
      <c r="AL90" s="87"/>
      <c r="AM90" s="87"/>
      <c r="AN90" s="87"/>
      <c r="AO90" s="87"/>
      <c r="AP90" s="87"/>
      <c r="AQ90" s="87"/>
      <c r="AR90" s="87"/>
      <c r="AS90" s="87"/>
      <c r="AT90" s="87"/>
      <c r="AU90" s="87"/>
      <c r="AV90" s="87"/>
      <c r="AW90" s="87"/>
      <c r="AX90" s="87"/>
      <c r="AY90" s="88"/>
      <c r="AZ90" s="88"/>
      <c r="BA90" s="88"/>
      <c r="BB90" s="89"/>
    </row>
    <row r="91" spans="1:54" x14ac:dyDescent="0.3">
      <c r="A91" s="50"/>
      <c r="B91" s="50"/>
      <c r="C91" s="50"/>
      <c r="D91" s="50"/>
      <c r="E91" s="50"/>
      <c r="F91" s="50"/>
      <c r="G91" s="50"/>
      <c r="H91" s="51"/>
      <c r="I91" s="51"/>
      <c r="J91" s="51"/>
      <c r="K91" s="51"/>
      <c r="L91" s="51"/>
      <c r="M91" s="51"/>
      <c r="N91" s="51"/>
      <c r="O91" s="51"/>
      <c r="P91" s="51"/>
      <c r="Q91" s="51"/>
      <c r="R91" s="51"/>
      <c r="S91" s="51"/>
      <c r="T91" s="51"/>
      <c r="U91" s="51"/>
      <c r="V91" s="51"/>
      <c r="W91" s="51"/>
      <c r="AB91" s="86"/>
      <c r="AC91" s="86"/>
      <c r="AD91" s="86"/>
      <c r="AE91" s="86"/>
      <c r="AF91" s="86"/>
      <c r="AG91" s="86"/>
      <c r="AH91" s="87"/>
      <c r="AI91" s="87"/>
      <c r="AJ91" s="87"/>
      <c r="AK91" s="87"/>
      <c r="AL91" s="87"/>
      <c r="AM91" s="87"/>
      <c r="AN91" s="87"/>
      <c r="AO91" s="87"/>
      <c r="AP91" s="87"/>
      <c r="AQ91" s="87"/>
      <c r="AR91" s="87"/>
      <c r="AS91" s="87"/>
      <c r="AT91" s="87"/>
      <c r="AU91" s="87"/>
      <c r="AV91" s="87"/>
      <c r="AW91" s="87"/>
      <c r="AX91" s="87"/>
      <c r="AY91" s="88"/>
      <c r="AZ91" s="88"/>
      <c r="BA91" s="88"/>
      <c r="BB91" s="89"/>
    </row>
    <row r="92" spans="1:54" x14ac:dyDescent="0.3">
      <c r="A92" s="50"/>
      <c r="B92" s="50"/>
      <c r="C92" s="50"/>
      <c r="D92" s="50"/>
      <c r="E92" s="50"/>
      <c r="F92" s="50" t="s">
        <v>134</v>
      </c>
      <c r="G92" s="50"/>
      <c r="H92" s="51"/>
      <c r="I92" s="51"/>
      <c r="J92" s="51"/>
      <c r="K92" s="51"/>
      <c r="L92" s="51"/>
      <c r="M92" s="51"/>
      <c r="N92" s="51"/>
      <c r="O92" s="51"/>
      <c r="P92" s="51"/>
      <c r="Q92" s="51"/>
      <c r="R92" s="51"/>
      <c r="S92" s="51"/>
      <c r="T92" s="51"/>
      <c r="U92" s="51"/>
      <c r="V92" s="51"/>
      <c r="W92" s="51"/>
      <c r="AB92" s="86"/>
      <c r="AC92" s="86"/>
      <c r="AD92" s="86"/>
      <c r="AE92" s="86"/>
      <c r="AF92" s="86" t="s">
        <v>134</v>
      </c>
      <c r="AG92" s="86"/>
      <c r="AH92" s="87"/>
      <c r="AI92" s="87"/>
      <c r="AJ92" s="87"/>
      <c r="AK92" s="87"/>
      <c r="AL92" s="87"/>
      <c r="AM92" s="87"/>
      <c r="AN92" s="87"/>
      <c r="AO92" s="87"/>
      <c r="AP92" s="87"/>
      <c r="AQ92" s="87"/>
      <c r="AR92" s="87"/>
      <c r="AS92" s="87"/>
      <c r="AT92" s="87"/>
      <c r="AU92" s="87"/>
      <c r="AV92" s="87"/>
      <c r="AW92" s="87"/>
      <c r="AX92" s="87"/>
      <c r="AY92" s="88"/>
      <c r="AZ92" s="88"/>
      <c r="BA92" s="88"/>
      <c r="BB92" s="89"/>
    </row>
    <row r="93" spans="1:54" x14ac:dyDescent="0.3">
      <c r="A93" s="50"/>
      <c r="B93" s="50"/>
      <c r="C93" s="50"/>
      <c r="D93" s="50"/>
      <c r="E93" s="50"/>
      <c r="F93" s="50"/>
      <c r="G93" s="50" t="s">
        <v>135</v>
      </c>
      <c r="H93" s="51">
        <v>0</v>
      </c>
      <c r="I93" s="51">
        <v>750</v>
      </c>
      <c r="J93" s="51">
        <v>750</v>
      </c>
      <c r="K93" s="51">
        <v>750</v>
      </c>
      <c r="L93" s="51">
        <v>600</v>
      </c>
      <c r="M93" s="51">
        <v>600</v>
      </c>
      <c r="N93" s="51">
        <v>0</v>
      </c>
      <c r="O93" s="51">
        <v>750</v>
      </c>
      <c r="P93" s="51">
        <v>600</v>
      </c>
      <c r="Q93" s="51">
        <v>750</v>
      </c>
      <c r="R93" s="51">
        <v>0</v>
      </c>
      <c r="S93" s="51">
        <v>1500</v>
      </c>
      <c r="T93" s="51"/>
      <c r="U93" s="51">
        <f t="shared" ref="U93:U124" si="34">ROUND(SUM(H93:T93),5)</f>
        <v>7050</v>
      </c>
      <c r="V93" s="67">
        <v>11250</v>
      </c>
      <c r="W93" s="67">
        <v>11250</v>
      </c>
      <c r="X93" s="68" t="s">
        <v>246</v>
      </c>
      <c r="AB93" s="86"/>
      <c r="AC93" s="86"/>
      <c r="AD93" s="86"/>
      <c r="AE93" s="86"/>
      <c r="AF93" s="86"/>
      <c r="AG93" s="86" t="s">
        <v>135</v>
      </c>
      <c r="AH93" s="87"/>
      <c r="AI93" s="87"/>
      <c r="AJ93" s="87"/>
      <c r="AK93" s="87"/>
      <c r="AL93" s="87">
        <v>0</v>
      </c>
      <c r="AM93" s="87">
        <v>750</v>
      </c>
      <c r="AN93" s="87">
        <v>750</v>
      </c>
      <c r="AO93" s="87">
        <v>1500</v>
      </c>
      <c r="AP93" s="87">
        <v>0</v>
      </c>
      <c r="AQ93" s="87">
        <v>750</v>
      </c>
      <c r="AR93" s="87">
        <v>0</v>
      </c>
      <c r="AS93" s="87">
        <v>750</v>
      </c>
      <c r="AT93" s="87">
        <v>750</v>
      </c>
      <c r="AU93" s="87">
        <v>1500</v>
      </c>
      <c r="AV93" s="87">
        <v>0</v>
      </c>
      <c r="AW93" s="87">
        <v>1500</v>
      </c>
      <c r="AX93" s="87"/>
      <c r="AY93" s="88">
        <f t="shared" ref="AY93:AY124" si="35">ROUND(SUM(AH93:AX93),5)</f>
        <v>8250</v>
      </c>
      <c r="AZ93" s="88">
        <v>10500</v>
      </c>
      <c r="BA93" s="88">
        <v>11250</v>
      </c>
      <c r="BB93" s="89" t="s">
        <v>246</v>
      </c>
    </row>
    <row r="94" spans="1:54" x14ac:dyDescent="0.3">
      <c r="A94" s="50"/>
      <c r="B94" s="50"/>
      <c r="C94" s="50"/>
      <c r="D94" s="50"/>
      <c r="E94" s="50"/>
      <c r="F94" s="50"/>
      <c r="G94" s="50" t="s">
        <v>136</v>
      </c>
      <c r="H94" s="51">
        <v>258.55</v>
      </c>
      <c r="I94" s="51">
        <v>206.84</v>
      </c>
      <c r="J94" s="51">
        <v>0</v>
      </c>
      <c r="K94" s="51">
        <v>210.34</v>
      </c>
      <c r="L94" s="51">
        <v>332.12</v>
      </c>
      <c r="M94" s="51">
        <v>403.48</v>
      </c>
      <c r="N94" s="51">
        <v>405.04</v>
      </c>
      <c r="O94" s="51">
        <v>200.52</v>
      </c>
      <c r="P94" s="51">
        <v>131.38999999999999</v>
      </c>
      <c r="Q94" s="51">
        <v>454.67</v>
      </c>
      <c r="R94" s="51">
        <v>206.84</v>
      </c>
      <c r="S94" s="51">
        <v>206.84</v>
      </c>
      <c r="T94" s="51"/>
      <c r="U94" s="51">
        <f t="shared" si="34"/>
        <v>3016.63</v>
      </c>
      <c r="V94" s="67">
        <v>3600</v>
      </c>
      <c r="W94" s="67">
        <v>3600</v>
      </c>
      <c r="AB94" s="86"/>
      <c r="AC94" s="86"/>
      <c r="AD94" s="86"/>
      <c r="AE94" s="86"/>
      <c r="AF94" s="86"/>
      <c r="AG94" s="86" t="s">
        <v>136</v>
      </c>
      <c r="AH94" s="87"/>
      <c r="AI94" s="87"/>
      <c r="AJ94" s="87"/>
      <c r="AK94" s="87"/>
      <c r="AL94" s="87">
        <v>343.33</v>
      </c>
      <c r="AM94" s="87">
        <v>145.52000000000001</v>
      </c>
      <c r="AN94" s="87">
        <v>48.86</v>
      </c>
      <c r="AO94" s="87">
        <v>178.2</v>
      </c>
      <c r="AP94" s="87">
        <v>34.76</v>
      </c>
      <c r="AQ94" s="87">
        <v>320.76</v>
      </c>
      <c r="AR94" s="87">
        <v>60.83</v>
      </c>
      <c r="AS94" s="87">
        <v>0</v>
      </c>
      <c r="AT94" s="87">
        <v>438.46</v>
      </c>
      <c r="AU94" s="87">
        <v>295.25</v>
      </c>
      <c r="AV94" s="87">
        <v>422.36</v>
      </c>
      <c r="AW94" s="87">
        <v>0</v>
      </c>
      <c r="AX94" s="87"/>
      <c r="AY94" s="88">
        <f t="shared" si="35"/>
        <v>2288.33</v>
      </c>
      <c r="AZ94" s="88">
        <v>3100</v>
      </c>
      <c r="BA94" s="88">
        <v>3600</v>
      </c>
      <c r="BB94" s="89" t="s">
        <v>250</v>
      </c>
    </row>
    <row r="95" spans="1:54" x14ac:dyDescent="0.3">
      <c r="A95" s="50"/>
      <c r="B95" s="50"/>
      <c r="C95" s="50"/>
      <c r="D95" s="50"/>
      <c r="E95" s="50"/>
      <c r="F95" s="50"/>
      <c r="G95" s="50" t="s">
        <v>137</v>
      </c>
      <c r="H95" s="51">
        <v>0</v>
      </c>
      <c r="I95" s="51">
        <v>260.75</v>
      </c>
      <c r="J95" s="51">
        <v>0</v>
      </c>
      <c r="K95" s="51">
        <v>260.63</v>
      </c>
      <c r="L95" s="51">
        <v>551.49</v>
      </c>
      <c r="M95" s="51">
        <v>0</v>
      </c>
      <c r="N95" s="51">
        <v>470.42</v>
      </c>
      <c r="O95" s="51">
        <v>210.39</v>
      </c>
      <c r="P95" s="51">
        <v>210.39</v>
      </c>
      <c r="Q95" s="51">
        <v>210.33</v>
      </c>
      <c r="R95" s="51">
        <v>0</v>
      </c>
      <c r="S95" s="51">
        <v>512.9</v>
      </c>
      <c r="T95" s="51"/>
      <c r="U95" s="51">
        <f t="shared" si="34"/>
        <v>2687.3</v>
      </c>
      <c r="V95" s="67">
        <v>3300</v>
      </c>
      <c r="W95" s="67">
        <v>3300</v>
      </c>
      <c r="AB95" s="86"/>
      <c r="AC95" s="86"/>
      <c r="AD95" s="86"/>
      <c r="AE95" s="86"/>
      <c r="AF95" s="86"/>
      <c r="AG95" s="86" t="s">
        <v>137</v>
      </c>
      <c r="AH95" s="87"/>
      <c r="AI95" s="87"/>
      <c r="AJ95" s="87"/>
      <c r="AK95" s="87"/>
      <c r="AL95" s="87">
        <v>241.34</v>
      </c>
      <c r="AM95" s="87">
        <v>372.18</v>
      </c>
      <c r="AN95" s="87">
        <v>296.32</v>
      </c>
      <c r="AO95" s="87">
        <v>0</v>
      </c>
      <c r="AP95" s="87">
        <v>517.34</v>
      </c>
      <c r="AQ95" s="87">
        <v>256.20999999999998</v>
      </c>
      <c r="AR95" s="87">
        <v>256.41000000000003</v>
      </c>
      <c r="AS95" s="87">
        <v>256.41000000000003</v>
      </c>
      <c r="AT95" s="87">
        <v>256.41000000000003</v>
      </c>
      <c r="AU95" s="87">
        <v>256.47000000000003</v>
      </c>
      <c r="AV95" s="87">
        <v>240.82</v>
      </c>
      <c r="AW95" s="87">
        <v>240.82</v>
      </c>
      <c r="AX95" s="87"/>
      <c r="AY95" s="88">
        <f t="shared" si="35"/>
        <v>3190.73</v>
      </c>
      <c r="AZ95" s="88">
        <v>3900</v>
      </c>
      <c r="BA95" s="88">
        <v>3300</v>
      </c>
      <c r="BB95" s="89"/>
    </row>
    <row r="96" spans="1:54" ht="13.8" customHeight="1" x14ac:dyDescent="0.3">
      <c r="A96" s="50"/>
      <c r="B96" s="50"/>
      <c r="C96" s="50"/>
      <c r="D96" s="50"/>
      <c r="E96" s="50"/>
      <c r="F96" s="50"/>
      <c r="G96" s="50" t="s">
        <v>138</v>
      </c>
      <c r="H96" s="51">
        <v>0</v>
      </c>
      <c r="I96" s="51">
        <v>0</v>
      </c>
      <c r="J96" s="51">
        <v>0</v>
      </c>
      <c r="K96" s="51">
        <v>0</v>
      </c>
      <c r="L96" s="51">
        <v>0</v>
      </c>
      <c r="M96" s="51">
        <v>0</v>
      </c>
      <c r="N96" s="51">
        <v>0</v>
      </c>
      <c r="O96" s="51">
        <v>0</v>
      </c>
      <c r="P96" s="51">
        <v>0</v>
      </c>
      <c r="Q96" s="51">
        <v>0</v>
      </c>
      <c r="R96" s="51">
        <v>0</v>
      </c>
      <c r="S96" s="51">
        <v>0</v>
      </c>
      <c r="T96" s="51"/>
      <c r="U96" s="51">
        <f t="shared" si="34"/>
        <v>0</v>
      </c>
      <c r="V96" s="67">
        <v>0</v>
      </c>
      <c r="W96" s="67">
        <v>1200</v>
      </c>
      <c r="X96" s="68" t="s">
        <v>295</v>
      </c>
      <c r="AB96" s="86"/>
      <c r="AC96" s="86"/>
      <c r="AD96" s="86"/>
      <c r="AE96" s="86"/>
      <c r="AF96" s="86"/>
      <c r="AG96" s="86" t="s">
        <v>138</v>
      </c>
      <c r="AH96" s="87"/>
      <c r="AI96" s="87"/>
      <c r="AJ96" s="87"/>
      <c r="AK96" s="87"/>
      <c r="AL96" s="87">
        <v>0</v>
      </c>
      <c r="AM96" s="87">
        <v>0</v>
      </c>
      <c r="AN96" s="87">
        <v>0</v>
      </c>
      <c r="AO96" s="87">
        <v>0</v>
      </c>
      <c r="AP96" s="87">
        <v>0</v>
      </c>
      <c r="AQ96" s="87">
        <v>0</v>
      </c>
      <c r="AR96" s="87">
        <v>0</v>
      </c>
      <c r="AS96" s="87">
        <v>0</v>
      </c>
      <c r="AT96" s="87">
        <v>0</v>
      </c>
      <c r="AU96" s="87">
        <v>0</v>
      </c>
      <c r="AV96" s="87">
        <v>0</v>
      </c>
      <c r="AW96" s="87">
        <v>0</v>
      </c>
      <c r="AX96" s="87"/>
      <c r="AY96" s="88">
        <f t="shared" si="35"/>
        <v>0</v>
      </c>
      <c r="AZ96" s="88">
        <v>1100</v>
      </c>
      <c r="BA96" s="88">
        <v>0</v>
      </c>
      <c r="BB96" s="89" t="s">
        <v>248</v>
      </c>
    </row>
    <row r="97" spans="1:54" x14ac:dyDescent="0.3">
      <c r="A97" s="50"/>
      <c r="B97" s="50"/>
      <c r="C97" s="50"/>
      <c r="D97" s="50"/>
      <c r="E97" s="50"/>
      <c r="F97" s="50"/>
      <c r="G97" s="50" t="s">
        <v>139</v>
      </c>
      <c r="H97" s="51">
        <v>1321.74</v>
      </c>
      <c r="I97" s="51">
        <v>1321.74</v>
      </c>
      <c r="J97" s="51">
        <v>1321.74</v>
      </c>
      <c r="K97" s="51">
        <v>1321.74</v>
      </c>
      <c r="L97" s="51">
        <v>1371.24</v>
      </c>
      <c r="M97" s="51">
        <v>1371.24</v>
      </c>
      <c r="N97" s="51">
        <v>1371.24</v>
      </c>
      <c r="O97" s="51">
        <v>1371.24</v>
      </c>
      <c r="P97" s="51">
        <v>1371.24</v>
      </c>
      <c r="Q97" s="51">
        <v>1424.65</v>
      </c>
      <c r="R97" s="51">
        <v>1196.9100000000001</v>
      </c>
      <c r="S97" s="51">
        <v>1196.8900000000001</v>
      </c>
      <c r="T97" s="51"/>
      <c r="U97" s="51">
        <f t="shared" si="34"/>
        <v>15961.61</v>
      </c>
      <c r="V97" s="67">
        <v>15900</v>
      </c>
      <c r="W97" s="67">
        <v>21500</v>
      </c>
      <c r="X97" s="68" t="s">
        <v>287</v>
      </c>
      <c r="AB97" s="86"/>
      <c r="AC97" s="86"/>
      <c r="AD97" s="86"/>
      <c r="AE97" s="86"/>
      <c r="AF97" s="86"/>
      <c r="AG97" s="86" t="s">
        <v>139</v>
      </c>
      <c r="AH97" s="87"/>
      <c r="AI97" s="87"/>
      <c r="AJ97" s="87"/>
      <c r="AK97" s="87"/>
      <c r="AL97" s="87">
        <v>1196.9100000000001</v>
      </c>
      <c r="AM97" s="87">
        <v>1196.9100000000001</v>
      </c>
      <c r="AN97" s="87">
        <v>1196.9100000000001</v>
      </c>
      <c r="AO97" s="87">
        <v>1196.9100000000001</v>
      </c>
      <c r="AP97" s="87">
        <v>1196.9100000000001</v>
      </c>
      <c r="AQ97" s="87">
        <v>1196.9100000000001</v>
      </c>
      <c r="AR97" s="87">
        <v>1196.9100000000001</v>
      </c>
      <c r="AS97" s="87">
        <v>1196.9100000000001</v>
      </c>
      <c r="AT97" s="87">
        <v>1196.9100000000001</v>
      </c>
      <c r="AU97" s="87">
        <v>1196.9100000000001</v>
      </c>
      <c r="AV97" s="87">
        <v>1196.9100000000001</v>
      </c>
      <c r="AW97" s="87">
        <v>1196.9100000000001</v>
      </c>
      <c r="AX97" s="87"/>
      <c r="AY97" s="88">
        <f t="shared" si="35"/>
        <v>14362.92</v>
      </c>
      <c r="AZ97" s="88">
        <v>14400</v>
      </c>
      <c r="BA97" s="88">
        <v>15900</v>
      </c>
      <c r="BB97" s="89" t="s">
        <v>255</v>
      </c>
    </row>
    <row r="98" spans="1:54" x14ac:dyDescent="0.3">
      <c r="A98" s="50"/>
      <c r="B98" s="50"/>
      <c r="C98" s="50"/>
      <c r="D98" s="50"/>
      <c r="E98" s="50"/>
      <c r="F98" s="50"/>
      <c r="G98" s="50" t="s">
        <v>140</v>
      </c>
      <c r="H98" s="51">
        <v>0</v>
      </c>
      <c r="I98" s="51">
        <v>120</v>
      </c>
      <c r="J98" s="51">
        <v>0</v>
      </c>
      <c r="K98" s="51">
        <v>2669</v>
      </c>
      <c r="L98" s="51">
        <v>284</v>
      </c>
      <c r="M98" s="51">
        <v>0</v>
      </c>
      <c r="N98" s="51">
        <v>0</v>
      </c>
      <c r="O98" s="51">
        <v>175</v>
      </c>
      <c r="P98" s="51">
        <v>0</v>
      </c>
      <c r="Q98" s="51">
        <v>300</v>
      </c>
      <c r="R98" s="51">
        <v>0</v>
      </c>
      <c r="S98" s="51">
        <v>0</v>
      </c>
      <c r="T98" s="51"/>
      <c r="U98" s="51">
        <f t="shared" si="34"/>
        <v>3548</v>
      </c>
      <c r="V98" s="67">
        <v>2600</v>
      </c>
      <c r="W98" s="67">
        <v>3300</v>
      </c>
      <c r="X98" s="68" t="s">
        <v>258</v>
      </c>
      <c r="AB98" s="86"/>
      <c r="AC98" s="86"/>
      <c r="AD98" s="86"/>
      <c r="AE98" s="86"/>
      <c r="AF98" s="86"/>
      <c r="AG98" s="86" t="s">
        <v>140</v>
      </c>
      <c r="AH98" s="87"/>
      <c r="AI98" s="87"/>
      <c r="AJ98" s="87"/>
      <c r="AK98" s="87"/>
      <c r="AL98" s="87">
        <v>120</v>
      </c>
      <c r="AM98" s="87">
        <v>75</v>
      </c>
      <c r="AN98" s="87">
        <v>0</v>
      </c>
      <c r="AO98" s="87">
        <v>0</v>
      </c>
      <c r="AP98" s="87">
        <v>395</v>
      </c>
      <c r="AQ98" s="87">
        <v>1230</v>
      </c>
      <c r="AR98" s="87">
        <v>584</v>
      </c>
      <c r="AS98" s="87">
        <v>0</v>
      </c>
      <c r="AT98" s="87">
        <v>0</v>
      </c>
      <c r="AU98" s="87">
        <v>0</v>
      </c>
      <c r="AV98" s="87">
        <v>0</v>
      </c>
      <c r="AW98" s="87">
        <v>0</v>
      </c>
      <c r="AX98" s="87"/>
      <c r="AY98" s="88">
        <f t="shared" si="35"/>
        <v>2404</v>
      </c>
      <c r="AZ98" s="88">
        <v>2600</v>
      </c>
      <c r="BA98" s="88">
        <v>2600</v>
      </c>
      <c r="BB98" s="89"/>
    </row>
    <row r="99" spans="1:54" x14ac:dyDescent="0.3">
      <c r="A99" s="50"/>
      <c r="B99" s="50"/>
      <c r="C99" s="50"/>
      <c r="D99" s="50"/>
      <c r="E99" s="50"/>
      <c r="F99" s="50"/>
      <c r="G99" s="50" t="s">
        <v>141</v>
      </c>
      <c r="H99" s="51">
        <v>16</v>
      </c>
      <c r="I99" s="51">
        <v>16</v>
      </c>
      <c r="J99" s="51">
        <v>16</v>
      </c>
      <c r="K99" s="51">
        <v>16</v>
      </c>
      <c r="L99" s="51">
        <v>31</v>
      </c>
      <c r="M99" s="51">
        <v>16</v>
      </c>
      <c r="N99" s="51">
        <v>16</v>
      </c>
      <c r="O99" s="51">
        <v>26</v>
      </c>
      <c r="P99" s="51">
        <v>16</v>
      </c>
      <c r="Q99" s="51">
        <v>26</v>
      </c>
      <c r="R99" s="51">
        <v>16</v>
      </c>
      <c r="S99" s="51">
        <v>16</v>
      </c>
      <c r="T99" s="51"/>
      <c r="U99" s="51">
        <f t="shared" si="34"/>
        <v>227</v>
      </c>
      <c r="V99" s="67">
        <v>300</v>
      </c>
      <c r="W99" s="67">
        <v>300</v>
      </c>
      <c r="AB99" s="86"/>
      <c r="AC99" s="86"/>
      <c r="AD99" s="86"/>
      <c r="AE99" s="86"/>
      <c r="AF99" s="86"/>
      <c r="AG99" s="86" t="s">
        <v>141</v>
      </c>
      <c r="AH99" s="87"/>
      <c r="AI99" s="87"/>
      <c r="AJ99" s="87"/>
      <c r="AK99" s="87"/>
      <c r="AL99" s="87">
        <v>21</v>
      </c>
      <c r="AM99" s="87">
        <v>21</v>
      </c>
      <c r="AN99" s="87">
        <v>21</v>
      </c>
      <c r="AO99" s="87">
        <v>56</v>
      </c>
      <c r="AP99" s="87">
        <v>21</v>
      </c>
      <c r="AQ99" s="87">
        <v>21</v>
      </c>
      <c r="AR99" s="87">
        <v>21</v>
      </c>
      <c r="AS99" s="87">
        <v>16</v>
      </c>
      <c r="AT99" s="87">
        <v>16</v>
      </c>
      <c r="AU99" s="87">
        <v>16</v>
      </c>
      <c r="AV99" s="87">
        <v>21</v>
      </c>
      <c r="AW99" s="87">
        <v>21</v>
      </c>
      <c r="AX99" s="87"/>
      <c r="AY99" s="88">
        <f t="shared" si="35"/>
        <v>272</v>
      </c>
      <c r="AZ99" s="88">
        <v>800</v>
      </c>
      <c r="BA99" s="88">
        <v>300</v>
      </c>
      <c r="BB99" s="89"/>
    </row>
    <row r="100" spans="1:54" x14ac:dyDescent="0.3">
      <c r="A100" s="50"/>
      <c r="B100" s="50"/>
      <c r="C100" s="50"/>
      <c r="D100" s="50"/>
      <c r="E100" s="50"/>
      <c r="F100" s="50"/>
      <c r="G100" s="50" t="s">
        <v>142</v>
      </c>
      <c r="H100" s="51">
        <v>0</v>
      </c>
      <c r="I100" s="51">
        <v>0</v>
      </c>
      <c r="J100" s="51">
        <v>0</v>
      </c>
      <c r="K100" s="51">
        <v>0</v>
      </c>
      <c r="L100" s="51">
        <v>0</v>
      </c>
      <c r="M100" s="51">
        <v>0</v>
      </c>
      <c r="N100" s="51">
        <v>0</v>
      </c>
      <c r="O100" s="51">
        <v>0</v>
      </c>
      <c r="P100" s="51">
        <v>0</v>
      </c>
      <c r="Q100" s="51">
        <v>149.9</v>
      </c>
      <c r="R100" s="51">
        <v>261</v>
      </c>
      <c r="S100" s="51">
        <v>0</v>
      </c>
      <c r="T100" s="51"/>
      <c r="U100" s="51">
        <f t="shared" si="34"/>
        <v>410.9</v>
      </c>
      <c r="V100" s="67">
        <v>2000</v>
      </c>
      <c r="W100" s="67">
        <v>500</v>
      </c>
      <c r="AB100" s="86"/>
      <c r="AC100" s="86"/>
      <c r="AD100" s="86"/>
      <c r="AE100" s="86"/>
      <c r="AF100" s="86"/>
      <c r="AG100" s="86" t="s">
        <v>142</v>
      </c>
      <c r="AH100" s="87"/>
      <c r="AI100" s="87"/>
      <c r="AJ100" s="87"/>
      <c r="AK100" s="87"/>
      <c r="AL100" s="87">
        <v>0</v>
      </c>
      <c r="AM100" s="87">
        <v>0</v>
      </c>
      <c r="AN100" s="87">
        <v>0</v>
      </c>
      <c r="AO100" s="87">
        <v>0</v>
      </c>
      <c r="AP100" s="87">
        <v>837.34</v>
      </c>
      <c r="AQ100" s="87">
        <v>0</v>
      </c>
      <c r="AR100" s="87">
        <v>0</v>
      </c>
      <c r="AS100" s="87">
        <v>0</v>
      </c>
      <c r="AT100" s="87">
        <v>0</v>
      </c>
      <c r="AU100" s="87">
        <v>0</v>
      </c>
      <c r="AV100" s="87">
        <v>0</v>
      </c>
      <c r="AW100" s="87">
        <v>1850</v>
      </c>
      <c r="AX100" s="87"/>
      <c r="AY100" s="88">
        <f t="shared" si="35"/>
        <v>2687.34</v>
      </c>
      <c r="AZ100" s="88">
        <v>1500</v>
      </c>
      <c r="BA100" s="88">
        <v>2000</v>
      </c>
      <c r="BB100" s="89" t="s">
        <v>258</v>
      </c>
    </row>
    <row r="101" spans="1:54" x14ac:dyDescent="0.3">
      <c r="A101" s="50"/>
      <c r="B101" s="50"/>
      <c r="C101" s="50"/>
      <c r="D101" s="50"/>
      <c r="E101" s="50"/>
      <c r="F101" s="50"/>
      <c r="G101" s="50" t="s">
        <v>143</v>
      </c>
      <c r="H101" s="51">
        <v>2.99</v>
      </c>
      <c r="I101" s="51">
        <v>356.44</v>
      </c>
      <c r="J101" s="51">
        <v>356.92</v>
      </c>
      <c r="K101" s="51">
        <v>356.92</v>
      </c>
      <c r="L101" s="51">
        <v>848.03</v>
      </c>
      <c r="M101" s="51">
        <v>497.98</v>
      </c>
      <c r="N101" s="51">
        <v>354.64</v>
      </c>
      <c r="O101" s="51">
        <v>371.91</v>
      </c>
      <c r="P101" s="51">
        <v>815.47</v>
      </c>
      <c r="Q101" s="51">
        <v>2.99</v>
      </c>
      <c r="R101" s="51">
        <v>355.87</v>
      </c>
      <c r="S101" s="51">
        <v>566.09</v>
      </c>
      <c r="T101" s="51"/>
      <c r="U101" s="51">
        <f t="shared" si="34"/>
        <v>4886.25</v>
      </c>
      <c r="V101" s="67">
        <v>7000</v>
      </c>
      <c r="W101" s="67">
        <v>7000</v>
      </c>
      <c r="AB101" s="86"/>
      <c r="AC101" s="86"/>
      <c r="AD101" s="86"/>
      <c r="AE101" s="86"/>
      <c r="AF101" s="86"/>
      <c r="AG101" s="86" t="s">
        <v>143</v>
      </c>
      <c r="AH101" s="87"/>
      <c r="AI101" s="87"/>
      <c r="AJ101" s="87"/>
      <c r="AK101" s="87"/>
      <c r="AL101" s="87">
        <v>2.99</v>
      </c>
      <c r="AM101" s="87">
        <v>488.86</v>
      </c>
      <c r="AN101" s="87">
        <v>346.22</v>
      </c>
      <c r="AO101" s="87">
        <v>418.45</v>
      </c>
      <c r="AP101" s="87">
        <v>349.26</v>
      </c>
      <c r="AQ101" s="87">
        <v>350.07</v>
      </c>
      <c r="AR101" s="87">
        <v>620.41999999999996</v>
      </c>
      <c r="AS101" s="87">
        <v>349.84</v>
      </c>
      <c r="AT101" s="87">
        <v>350.02</v>
      </c>
      <c r="AU101" s="87">
        <v>496.21</v>
      </c>
      <c r="AV101" s="87">
        <v>887.43</v>
      </c>
      <c r="AW101" s="87">
        <v>361.82</v>
      </c>
      <c r="AX101" s="87"/>
      <c r="AY101" s="88">
        <f t="shared" si="35"/>
        <v>5021.59</v>
      </c>
      <c r="AZ101" s="88">
        <v>7000</v>
      </c>
      <c r="BA101" s="88">
        <v>7000</v>
      </c>
      <c r="BB101" s="89"/>
    </row>
    <row r="102" spans="1:54" x14ac:dyDescent="0.3">
      <c r="A102" s="50"/>
      <c r="B102" s="50"/>
      <c r="C102" s="50"/>
      <c r="D102" s="50"/>
      <c r="E102" s="50"/>
      <c r="F102" s="50"/>
      <c r="G102" s="50" t="s">
        <v>144</v>
      </c>
      <c r="H102" s="51">
        <v>0</v>
      </c>
      <c r="I102" s="51">
        <v>0</v>
      </c>
      <c r="J102" s="51">
        <v>0</v>
      </c>
      <c r="K102" s="51">
        <v>0</v>
      </c>
      <c r="L102" s="51">
        <v>0</v>
      </c>
      <c r="M102" s="51">
        <v>0</v>
      </c>
      <c r="N102" s="51">
        <v>418.65</v>
      </c>
      <c r="O102" s="51">
        <v>0</v>
      </c>
      <c r="P102" s="51">
        <v>270.52</v>
      </c>
      <c r="Q102" s="51">
        <v>0</v>
      </c>
      <c r="R102" s="51">
        <v>0</v>
      </c>
      <c r="S102" s="51">
        <v>0</v>
      </c>
      <c r="T102" s="51"/>
      <c r="U102" s="51">
        <f t="shared" si="34"/>
        <v>689.17</v>
      </c>
      <c r="V102" s="67">
        <v>0</v>
      </c>
      <c r="W102" s="67">
        <v>1000</v>
      </c>
      <c r="X102" s="68" t="s">
        <v>296</v>
      </c>
      <c r="AB102" s="86"/>
      <c r="AC102" s="86"/>
      <c r="AD102" s="86"/>
      <c r="AE102" s="86"/>
      <c r="AF102" s="86"/>
      <c r="AG102" s="86" t="s">
        <v>144</v>
      </c>
      <c r="AH102" s="87"/>
      <c r="AI102" s="87"/>
      <c r="AJ102" s="87"/>
      <c r="AK102" s="87"/>
      <c r="AL102" s="87">
        <v>0</v>
      </c>
      <c r="AM102" s="87">
        <v>0</v>
      </c>
      <c r="AN102" s="87">
        <v>0</v>
      </c>
      <c r="AO102" s="87">
        <v>0</v>
      </c>
      <c r="AP102" s="87">
        <v>0</v>
      </c>
      <c r="AQ102" s="87">
        <v>0</v>
      </c>
      <c r="AR102" s="87">
        <v>0</v>
      </c>
      <c r="AS102" s="87">
        <v>0</v>
      </c>
      <c r="AT102" s="87">
        <v>0</v>
      </c>
      <c r="AU102" s="87">
        <v>0</v>
      </c>
      <c r="AV102" s="87">
        <v>0</v>
      </c>
      <c r="AW102" s="87">
        <v>0</v>
      </c>
      <c r="AX102" s="87"/>
      <c r="AY102" s="88">
        <f t="shared" si="35"/>
        <v>0</v>
      </c>
      <c r="AZ102" s="88">
        <v>1200</v>
      </c>
      <c r="BA102" s="88">
        <v>0</v>
      </c>
      <c r="BB102" s="89" t="s">
        <v>248</v>
      </c>
    </row>
    <row r="103" spans="1:54" x14ac:dyDescent="0.3">
      <c r="A103" s="50"/>
      <c r="B103" s="50"/>
      <c r="C103" s="50"/>
      <c r="D103" s="50"/>
      <c r="E103" s="50"/>
      <c r="F103" s="50"/>
      <c r="G103" s="50" t="s">
        <v>145</v>
      </c>
      <c r="H103" s="51">
        <v>364.31</v>
      </c>
      <c r="I103" s="51">
        <v>41.55</v>
      </c>
      <c r="J103" s="51">
        <v>778.44</v>
      </c>
      <c r="K103" s="51">
        <v>71.599999999999994</v>
      </c>
      <c r="L103" s="51">
        <v>0</v>
      </c>
      <c r="M103" s="51">
        <v>601.58000000000004</v>
      </c>
      <c r="N103" s="51">
        <v>0</v>
      </c>
      <c r="O103" s="51">
        <v>0</v>
      </c>
      <c r="P103" s="51">
        <v>411.56</v>
      </c>
      <c r="Q103" s="51">
        <v>137.16999999999999</v>
      </c>
      <c r="R103" s="51">
        <v>89.84</v>
      </c>
      <c r="S103" s="51">
        <v>134.16</v>
      </c>
      <c r="T103" s="51"/>
      <c r="U103" s="51">
        <f t="shared" si="34"/>
        <v>2630.21</v>
      </c>
      <c r="V103" s="67">
        <v>3000</v>
      </c>
      <c r="W103" s="67">
        <v>3500</v>
      </c>
      <c r="AB103" s="86"/>
      <c r="AC103" s="86"/>
      <c r="AD103" s="86"/>
      <c r="AE103" s="86"/>
      <c r="AF103" s="86"/>
      <c r="AG103" s="86" t="s">
        <v>145</v>
      </c>
      <c r="AH103" s="87"/>
      <c r="AI103" s="87"/>
      <c r="AJ103" s="87"/>
      <c r="AK103" s="87"/>
      <c r="AL103" s="87">
        <v>195.95</v>
      </c>
      <c r="AM103" s="87">
        <v>275.38</v>
      </c>
      <c r="AN103" s="87">
        <v>60.79</v>
      </c>
      <c r="AO103" s="87">
        <v>107.39</v>
      </c>
      <c r="AP103" s="87">
        <v>191.56</v>
      </c>
      <c r="AQ103" s="87">
        <v>69.58</v>
      </c>
      <c r="AR103" s="87">
        <v>0</v>
      </c>
      <c r="AS103" s="87">
        <v>89.08</v>
      </c>
      <c r="AT103" s="87">
        <v>113.48</v>
      </c>
      <c r="AU103" s="87">
        <v>162.65</v>
      </c>
      <c r="AV103" s="87">
        <v>59.88</v>
      </c>
      <c r="AW103" s="87">
        <v>17.399999999999999</v>
      </c>
      <c r="AX103" s="87"/>
      <c r="AY103" s="88">
        <f t="shared" si="35"/>
        <v>1343.14</v>
      </c>
      <c r="AZ103" s="88">
        <v>3000</v>
      </c>
      <c r="BA103" s="88">
        <v>3000</v>
      </c>
      <c r="BB103" s="89"/>
    </row>
    <row r="104" spans="1:54" x14ac:dyDescent="0.3">
      <c r="A104" s="50"/>
      <c r="B104" s="50"/>
      <c r="C104" s="50"/>
      <c r="D104" s="50"/>
      <c r="E104" s="50"/>
      <c r="F104" s="50"/>
      <c r="G104" s="50" t="s">
        <v>146</v>
      </c>
      <c r="H104" s="51">
        <v>0</v>
      </c>
      <c r="I104" s="51">
        <v>0</v>
      </c>
      <c r="J104" s="51">
        <v>160.51</v>
      </c>
      <c r="K104" s="51">
        <v>232</v>
      </c>
      <c r="L104" s="51">
        <v>0</v>
      </c>
      <c r="M104" s="51">
        <v>0</v>
      </c>
      <c r="N104" s="51">
        <v>0</v>
      </c>
      <c r="O104" s="51">
        <v>0</v>
      </c>
      <c r="P104" s="51">
        <v>0</v>
      </c>
      <c r="Q104" s="51">
        <v>232</v>
      </c>
      <c r="R104" s="51">
        <v>0</v>
      </c>
      <c r="S104" s="51">
        <v>245</v>
      </c>
      <c r="T104" s="51"/>
      <c r="U104" s="51">
        <f t="shared" si="34"/>
        <v>869.51</v>
      </c>
      <c r="V104" s="67">
        <v>1000</v>
      </c>
      <c r="W104" s="67">
        <v>1000</v>
      </c>
      <c r="AB104" s="86"/>
      <c r="AC104" s="86"/>
      <c r="AD104" s="86"/>
      <c r="AE104" s="86"/>
      <c r="AF104" s="86"/>
      <c r="AG104" s="86" t="s">
        <v>146</v>
      </c>
      <c r="AH104" s="87"/>
      <c r="AI104" s="87"/>
      <c r="AJ104" s="87"/>
      <c r="AK104" s="87"/>
      <c r="AL104" s="87">
        <v>110</v>
      </c>
      <c r="AM104" s="87">
        <v>0</v>
      </c>
      <c r="AN104" s="87">
        <v>136.35</v>
      </c>
      <c r="AO104" s="87">
        <v>0</v>
      </c>
      <c r="AP104" s="87">
        <v>0</v>
      </c>
      <c r="AQ104" s="87">
        <v>0</v>
      </c>
      <c r="AR104" s="87">
        <v>220</v>
      </c>
      <c r="AS104" s="87">
        <v>0</v>
      </c>
      <c r="AT104" s="87">
        <v>0</v>
      </c>
      <c r="AU104" s="87">
        <v>44.39</v>
      </c>
      <c r="AV104" s="87">
        <v>0</v>
      </c>
      <c r="AW104" s="87">
        <v>240</v>
      </c>
      <c r="AX104" s="87"/>
      <c r="AY104" s="88">
        <f t="shared" si="35"/>
        <v>750.74</v>
      </c>
      <c r="AZ104" s="88">
        <v>1000</v>
      </c>
      <c r="BA104" s="88">
        <v>1000</v>
      </c>
      <c r="BB104" s="89"/>
    </row>
    <row r="105" spans="1:54" x14ac:dyDescent="0.3">
      <c r="A105" s="50"/>
      <c r="B105" s="50"/>
      <c r="C105" s="50"/>
      <c r="D105" s="50"/>
      <c r="E105" s="50"/>
      <c r="F105" s="50"/>
      <c r="G105" s="50" t="s">
        <v>147</v>
      </c>
      <c r="H105" s="51">
        <v>0</v>
      </c>
      <c r="I105" s="51">
        <v>0</v>
      </c>
      <c r="J105" s="51">
        <v>0</v>
      </c>
      <c r="K105" s="51">
        <v>0</v>
      </c>
      <c r="L105" s="51">
        <v>803.32</v>
      </c>
      <c r="M105" s="51">
        <v>0</v>
      </c>
      <c r="N105" s="51">
        <v>0</v>
      </c>
      <c r="O105" s="51">
        <v>0</v>
      </c>
      <c r="P105" s="51">
        <v>5.98</v>
      </c>
      <c r="Q105" s="51">
        <v>0</v>
      </c>
      <c r="R105" s="51">
        <v>0</v>
      </c>
      <c r="S105" s="51">
        <v>369.97</v>
      </c>
      <c r="T105" s="51"/>
      <c r="U105" s="51">
        <f t="shared" si="34"/>
        <v>1179.27</v>
      </c>
      <c r="V105" s="67">
        <v>2500</v>
      </c>
      <c r="W105" s="67">
        <v>2500</v>
      </c>
      <c r="AB105" s="86"/>
      <c r="AC105" s="86"/>
      <c r="AD105" s="86"/>
      <c r="AE105" s="86"/>
      <c r="AF105" s="86"/>
      <c r="AG105" s="86" t="s">
        <v>147</v>
      </c>
      <c r="AH105" s="87"/>
      <c r="AI105" s="87"/>
      <c r="AJ105" s="87"/>
      <c r="AK105" s="87"/>
      <c r="AL105" s="87">
        <v>42.34</v>
      </c>
      <c r="AM105" s="87">
        <v>0</v>
      </c>
      <c r="AN105" s="87">
        <v>0</v>
      </c>
      <c r="AO105" s="87">
        <v>0</v>
      </c>
      <c r="AP105" s="87">
        <v>0</v>
      </c>
      <c r="AQ105" s="87">
        <v>0</v>
      </c>
      <c r="AR105" s="87">
        <v>0</v>
      </c>
      <c r="AS105" s="87">
        <v>0</v>
      </c>
      <c r="AT105" s="87">
        <v>0</v>
      </c>
      <c r="AU105" s="87">
        <v>195.72</v>
      </c>
      <c r="AV105" s="87">
        <v>570.48</v>
      </c>
      <c r="AW105" s="87">
        <v>2.99</v>
      </c>
      <c r="AX105" s="87"/>
      <c r="AY105" s="88">
        <f t="shared" si="35"/>
        <v>811.53</v>
      </c>
      <c r="AZ105" s="88">
        <v>4000</v>
      </c>
      <c r="BA105" s="88">
        <v>2500</v>
      </c>
      <c r="BB105" s="89"/>
    </row>
    <row r="106" spans="1:54" x14ac:dyDescent="0.3">
      <c r="A106" s="50"/>
      <c r="B106" s="50"/>
      <c r="C106" s="50"/>
      <c r="D106" s="50"/>
      <c r="E106" s="50"/>
      <c r="F106" s="50"/>
      <c r="G106" s="50" t="s">
        <v>232</v>
      </c>
      <c r="H106" s="51">
        <v>92.05</v>
      </c>
      <c r="I106" s="51">
        <v>0</v>
      </c>
      <c r="J106" s="51">
        <v>0</v>
      </c>
      <c r="K106" s="51">
        <v>0</v>
      </c>
      <c r="L106" s="51">
        <v>0</v>
      </c>
      <c r="M106" s="51">
        <v>0</v>
      </c>
      <c r="N106" s="51">
        <v>0</v>
      </c>
      <c r="O106" s="51">
        <v>53.22</v>
      </c>
      <c r="P106" s="51">
        <v>0</v>
      </c>
      <c r="Q106" s="51">
        <v>0</v>
      </c>
      <c r="R106" s="51">
        <v>0</v>
      </c>
      <c r="S106" s="51">
        <v>0</v>
      </c>
      <c r="T106" s="51"/>
      <c r="U106" s="51">
        <f t="shared" si="34"/>
        <v>145.27000000000001</v>
      </c>
      <c r="V106" s="67">
        <v>2400</v>
      </c>
      <c r="W106" s="67">
        <v>2400</v>
      </c>
      <c r="AB106" s="86"/>
      <c r="AC106" s="86"/>
      <c r="AD106" s="86"/>
      <c r="AE106" s="86"/>
      <c r="AF106" s="86"/>
      <c r="AG106" s="86" t="s">
        <v>232</v>
      </c>
      <c r="AH106" s="87"/>
      <c r="AI106" s="87"/>
      <c r="AJ106" s="87"/>
      <c r="AK106" s="87"/>
      <c r="AL106" s="87">
        <v>0</v>
      </c>
      <c r="AM106" s="87">
        <v>22.04</v>
      </c>
      <c r="AN106" s="87">
        <v>0</v>
      </c>
      <c r="AO106" s="87">
        <v>0</v>
      </c>
      <c r="AP106" s="87">
        <v>0</v>
      </c>
      <c r="AQ106" s="87">
        <v>0</v>
      </c>
      <c r="AR106" s="87">
        <v>0</v>
      </c>
      <c r="AS106" s="87">
        <v>0</v>
      </c>
      <c r="AT106" s="87">
        <v>0</v>
      </c>
      <c r="AU106" s="87">
        <v>0</v>
      </c>
      <c r="AV106" s="87">
        <v>0</v>
      </c>
      <c r="AW106" s="87">
        <v>0</v>
      </c>
      <c r="AX106" s="87"/>
      <c r="AY106" s="88">
        <f t="shared" si="35"/>
        <v>22.04</v>
      </c>
      <c r="AZ106" s="88">
        <v>0</v>
      </c>
      <c r="BA106" s="88">
        <v>2400</v>
      </c>
      <c r="BB106" s="89" t="s">
        <v>249</v>
      </c>
    </row>
    <row r="107" spans="1:54" x14ac:dyDescent="0.3">
      <c r="A107" s="50"/>
      <c r="B107" s="50"/>
      <c r="C107" s="50"/>
      <c r="D107" s="50"/>
      <c r="E107" s="50"/>
      <c r="F107" s="50"/>
      <c r="G107" s="50" t="s">
        <v>148</v>
      </c>
      <c r="H107" s="51">
        <v>115</v>
      </c>
      <c r="I107" s="51">
        <v>115</v>
      </c>
      <c r="J107" s="51">
        <v>230</v>
      </c>
      <c r="K107" s="51">
        <v>0</v>
      </c>
      <c r="L107" s="51">
        <v>115</v>
      </c>
      <c r="M107" s="51">
        <v>115</v>
      </c>
      <c r="N107" s="51">
        <v>115</v>
      </c>
      <c r="O107" s="51">
        <v>115</v>
      </c>
      <c r="P107" s="51">
        <v>115</v>
      </c>
      <c r="Q107" s="51">
        <v>115</v>
      </c>
      <c r="R107" s="51">
        <v>115</v>
      </c>
      <c r="S107" s="51">
        <v>115</v>
      </c>
      <c r="T107" s="51"/>
      <c r="U107" s="51">
        <f t="shared" si="34"/>
        <v>1380</v>
      </c>
      <c r="V107" s="67">
        <v>1400</v>
      </c>
      <c r="W107" s="67">
        <v>1400</v>
      </c>
      <c r="AB107" s="86"/>
      <c r="AC107" s="86"/>
      <c r="AD107" s="86"/>
      <c r="AE107" s="86"/>
      <c r="AF107" s="86"/>
      <c r="AG107" s="86" t="s">
        <v>148</v>
      </c>
      <c r="AH107" s="87"/>
      <c r="AI107" s="87"/>
      <c r="AJ107" s="87"/>
      <c r="AK107" s="87"/>
      <c r="AL107" s="87">
        <v>116</v>
      </c>
      <c r="AM107" s="87">
        <v>116</v>
      </c>
      <c r="AN107" s="87">
        <v>241</v>
      </c>
      <c r="AO107" s="87">
        <v>0</v>
      </c>
      <c r="AP107" s="87">
        <v>115</v>
      </c>
      <c r="AQ107" s="87">
        <v>115</v>
      </c>
      <c r="AR107" s="87">
        <v>115</v>
      </c>
      <c r="AS107" s="87">
        <v>230</v>
      </c>
      <c r="AT107" s="87">
        <v>0</v>
      </c>
      <c r="AU107" s="87">
        <v>115</v>
      </c>
      <c r="AV107" s="87">
        <v>116</v>
      </c>
      <c r="AW107" s="87">
        <v>116</v>
      </c>
      <c r="AX107" s="87"/>
      <c r="AY107" s="88">
        <f t="shared" si="35"/>
        <v>1395</v>
      </c>
      <c r="AZ107" s="88">
        <v>1500</v>
      </c>
      <c r="BA107" s="88">
        <v>1400</v>
      </c>
      <c r="BB107" s="89"/>
    </row>
    <row r="108" spans="1:54" x14ac:dyDescent="0.3">
      <c r="A108" s="50"/>
      <c r="B108" s="50"/>
      <c r="C108" s="50"/>
      <c r="D108" s="50"/>
      <c r="E108" s="50"/>
      <c r="F108" s="50"/>
      <c r="G108" s="50" t="s">
        <v>149</v>
      </c>
      <c r="H108" s="51">
        <v>287.19</v>
      </c>
      <c r="I108" s="51">
        <v>277.58999999999997</v>
      </c>
      <c r="J108" s="51">
        <v>296</v>
      </c>
      <c r="K108" s="51">
        <v>391.54</v>
      </c>
      <c r="L108" s="51">
        <v>266.11</v>
      </c>
      <c r="M108" s="51">
        <v>294.98</v>
      </c>
      <c r="N108" s="51">
        <v>436.26</v>
      </c>
      <c r="O108" s="51">
        <v>30.18</v>
      </c>
      <c r="P108" s="51">
        <v>26.68</v>
      </c>
      <c r="Q108" s="51">
        <v>428.65</v>
      </c>
      <c r="R108" s="51">
        <v>237.68</v>
      </c>
      <c r="S108" s="51">
        <v>270.11</v>
      </c>
      <c r="T108" s="51"/>
      <c r="U108" s="51">
        <f t="shared" si="34"/>
        <v>3242.97</v>
      </c>
      <c r="V108" s="67">
        <v>4100</v>
      </c>
      <c r="W108" s="67">
        <v>4100</v>
      </c>
      <c r="AB108" s="86"/>
      <c r="AC108" s="86"/>
      <c r="AD108" s="86"/>
      <c r="AE108" s="86"/>
      <c r="AF108" s="86"/>
      <c r="AG108" s="86" t="s">
        <v>149</v>
      </c>
      <c r="AH108" s="87"/>
      <c r="AI108" s="87"/>
      <c r="AJ108" s="87"/>
      <c r="AK108" s="87"/>
      <c r="AL108" s="87">
        <v>278.04000000000002</v>
      </c>
      <c r="AM108" s="87">
        <v>270.92</v>
      </c>
      <c r="AN108" s="87">
        <v>259.54000000000002</v>
      </c>
      <c r="AO108" s="87">
        <v>435.49</v>
      </c>
      <c r="AP108" s="87">
        <v>221.98</v>
      </c>
      <c r="AQ108" s="87">
        <v>279.07</v>
      </c>
      <c r="AR108" s="87">
        <v>425.18</v>
      </c>
      <c r="AS108" s="87">
        <v>276.11</v>
      </c>
      <c r="AT108" s="87">
        <v>276.11</v>
      </c>
      <c r="AU108" s="87">
        <v>463.17</v>
      </c>
      <c r="AV108" s="87">
        <v>370.92</v>
      </c>
      <c r="AW108" s="87">
        <v>400.19</v>
      </c>
      <c r="AX108" s="87"/>
      <c r="AY108" s="88">
        <f t="shared" si="35"/>
        <v>3956.72</v>
      </c>
      <c r="AZ108" s="88">
        <v>4200</v>
      </c>
      <c r="BA108" s="88">
        <v>4100</v>
      </c>
      <c r="BB108" s="89"/>
    </row>
    <row r="109" spans="1:54" x14ac:dyDescent="0.3">
      <c r="A109" s="50"/>
      <c r="B109" s="50"/>
      <c r="C109" s="50"/>
      <c r="D109" s="50"/>
      <c r="E109" s="50"/>
      <c r="F109" s="50"/>
      <c r="G109" s="50" t="s">
        <v>150</v>
      </c>
      <c r="H109" s="51">
        <v>0</v>
      </c>
      <c r="I109" s="51">
        <v>0</v>
      </c>
      <c r="J109" s="51">
        <v>0</v>
      </c>
      <c r="K109" s="51">
        <v>9900</v>
      </c>
      <c r="L109" s="51">
        <v>0</v>
      </c>
      <c r="M109" s="51">
        <v>0</v>
      </c>
      <c r="N109" s="51">
        <v>1100</v>
      </c>
      <c r="O109" s="51">
        <v>0</v>
      </c>
      <c r="P109" s="51">
        <v>0</v>
      </c>
      <c r="Q109" s="51">
        <v>0</v>
      </c>
      <c r="R109" s="51">
        <v>0</v>
      </c>
      <c r="S109" s="51">
        <v>0</v>
      </c>
      <c r="T109" s="51"/>
      <c r="U109" s="51">
        <f t="shared" si="34"/>
        <v>11000</v>
      </c>
      <c r="V109" s="67">
        <v>11000</v>
      </c>
      <c r="W109" s="67">
        <v>10500</v>
      </c>
      <c r="AB109" s="86"/>
      <c r="AC109" s="86"/>
      <c r="AD109" s="86"/>
      <c r="AE109" s="86"/>
      <c r="AF109" s="86"/>
      <c r="AG109" s="86" t="s">
        <v>150</v>
      </c>
      <c r="AH109" s="87"/>
      <c r="AI109" s="87"/>
      <c r="AJ109" s="87"/>
      <c r="AK109" s="87"/>
      <c r="AL109" s="87">
        <v>0</v>
      </c>
      <c r="AM109" s="87">
        <v>8240</v>
      </c>
      <c r="AN109" s="87">
        <v>2060</v>
      </c>
      <c r="AO109" s="87">
        <v>0</v>
      </c>
      <c r="AP109" s="87">
        <v>0</v>
      </c>
      <c r="AQ109" s="87">
        <v>0</v>
      </c>
      <c r="AR109" s="87">
        <v>0</v>
      </c>
      <c r="AS109" s="87">
        <v>0</v>
      </c>
      <c r="AT109" s="87">
        <v>0</v>
      </c>
      <c r="AU109" s="87">
        <v>0</v>
      </c>
      <c r="AV109" s="87">
        <v>0</v>
      </c>
      <c r="AW109" s="87">
        <v>0</v>
      </c>
      <c r="AX109" s="87"/>
      <c r="AY109" s="88">
        <f t="shared" si="35"/>
        <v>10300</v>
      </c>
      <c r="AZ109" s="88">
        <v>12000</v>
      </c>
      <c r="BA109" s="88">
        <v>11000</v>
      </c>
      <c r="BB109" s="89"/>
    </row>
    <row r="110" spans="1:54" x14ac:dyDescent="0.3">
      <c r="A110" s="50"/>
      <c r="B110" s="50"/>
      <c r="C110" s="50"/>
      <c r="D110" s="50"/>
      <c r="E110" s="50"/>
      <c r="F110" s="50"/>
      <c r="G110" s="50" t="s">
        <v>151</v>
      </c>
      <c r="H110" s="51">
        <v>770</v>
      </c>
      <c r="I110" s="51">
        <v>1017.5</v>
      </c>
      <c r="J110" s="51">
        <v>1540</v>
      </c>
      <c r="K110" s="51">
        <v>0</v>
      </c>
      <c r="L110" s="51">
        <v>1045</v>
      </c>
      <c r="M110" s="51">
        <v>247.5</v>
      </c>
      <c r="N110" s="51">
        <v>805</v>
      </c>
      <c r="O110" s="51">
        <v>488.75</v>
      </c>
      <c r="P110" s="51">
        <v>690</v>
      </c>
      <c r="Q110" s="51">
        <v>718.75</v>
      </c>
      <c r="R110" s="51">
        <v>742.5</v>
      </c>
      <c r="S110" s="51">
        <v>440</v>
      </c>
      <c r="T110" s="51"/>
      <c r="U110" s="51">
        <f t="shared" si="34"/>
        <v>8505</v>
      </c>
      <c r="V110" s="67">
        <v>9500</v>
      </c>
      <c r="W110" s="67">
        <v>9500</v>
      </c>
      <c r="AB110" s="86"/>
      <c r="AC110" s="86"/>
      <c r="AD110" s="86"/>
      <c r="AE110" s="86"/>
      <c r="AF110" s="86"/>
      <c r="AG110" s="86" t="s">
        <v>151</v>
      </c>
      <c r="AH110" s="87"/>
      <c r="AI110" s="87"/>
      <c r="AJ110" s="87"/>
      <c r="AK110" s="87"/>
      <c r="AL110" s="87">
        <v>1023.75</v>
      </c>
      <c r="AM110" s="87">
        <v>1102.5</v>
      </c>
      <c r="AN110" s="87">
        <v>1155</v>
      </c>
      <c r="AO110" s="87">
        <v>551.25</v>
      </c>
      <c r="AP110" s="87">
        <v>813.75</v>
      </c>
      <c r="AQ110" s="87">
        <v>341.25</v>
      </c>
      <c r="AR110" s="87">
        <v>446.25</v>
      </c>
      <c r="AS110" s="87">
        <v>632.5</v>
      </c>
      <c r="AT110" s="87">
        <v>797.5</v>
      </c>
      <c r="AU110" s="87">
        <v>972.9</v>
      </c>
      <c r="AV110" s="87">
        <v>813.75</v>
      </c>
      <c r="AW110" s="87">
        <v>971.25</v>
      </c>
      <c r="AX110" s="87"/>
      <c r="AY110" s="88">
        <f t="shared" si="35"/>
        <v>9621.65</v>
      </c>
      <c r="AZ110" s="88">
        <v>8500</v>
      </c>
      <c r="BA110" s="88">
        <v>9500</v>
      </c>
      <c r="BB110" s="89" t="s">
        <v>248</v>
      </c>
    </row>
    <row r="111" spans="1:54" x14ac:dyDescent="0.3">
      <c r="A111" s="50"/>
      <c r="B111" s="50"/>
      <c r="C111" s="50"/>
      <c r="D111" s="50"/>
      <c r="E111" s="50"/>
      <c r="F111" s="50"/>
      <c r="G111" s="50" t="s">
        <v>200</v>
      </c>
      <c r="H111" s="51">
        <v>0</v>
      </c>
      <c r="I111" s="51">
        <v>0</v>
      </c>
      <c r="J111" s="51">
        <v>0</v>
      </c>
      <c r="K111" s="51">
        <v>0</v>
      </c>
      <c r="L111" s="51">
        <v>0</v>
      </c>
      <c r="M111" s="51">
        <v>0</v>
      </c>
      <c r="N111" s="51">
        <v>0</v>
      </c>
      <c r="O111" s="51">
        <v>0</v>
      </c>
      <c r="P111" s="51">
        <v>0</v>
      </c>
      <c r="Q111" s="51">
        <v>0</v>
      </c>
      <c r="R111" s="51">
        <v>0</v>
      </c>
      <c r="S111" s="51">
        <v>0</v>
      </c>
      <c r="T111" s="51"/>
      <c r="U111" s="51">
        <v>0</v>
      </c>
      <c r="V111" s="67">
        <v>9000</v>
      </c>
      <c r="W111" s="67">
        <v>9000</v>
      </c>
      <c r="AB111" s="86"/>
      <c r="AC111" s="86"/>
      <c r="AD111" s="86"/>
      <c r="AE111" s="86"/>
      <c r="AF111" s="86"/>
      <c r="AG111" s="86" t="s">
        <v>200</v>
      </c>
      <c r="AH111" s="87"/>
      <c r="AI111" s="87"/>
      <c r="AJ111" s="87"/>
      <c r="AK111" s="87"/>
      <c r="AL111" s="87">
        <v>0</v>
      </c>
      <c r="AM111" s="87">
        <v>0</v>
      </c>
      <c r="AN111" s="87">
        <v>0</v>
      </c>
      <c r="AO111" s="87">
        <v>0</v>
      </c>
      <c r="AP111" s="87">
        <v>0</v>
      </c>
      <c r="AQ111" s="87">
        <v>0</v>
      </c>
      <c r="AR111" s="87">
        <v>0</v>
      </c>
      <c r="AS111" s="87">
        <v>0</v>
      </c>
      <c r="AT111" s="87">
        <v>0</v>
      </c>
      <c r="AU111" s="87">
        <v>0</v>
      </c>
      <c r="AV111" s="87">
        <v>0</v>
      </c>
      <c r="AW111" s="87">
        <v>0</v>
      </c>
      <c r="AX111" s="87"/>
      <c r="AY111" s="88">
        <f t="shared" si="35"/>
        <v>0</v>
      </c>
      <c r="AZ111" s="88">
        <v>9000</v>
      </c>
      <c r="BA111" s="88">
        <v>9000</v>
      </c>
      <c r="BB111" s="89"/>
    </row>
    <row r="112" spans="1:54" x14ac:dyDescent="0.3">
      <c r="A112" s="50"/>
      <c r="B112" s="50"/>
      <c r="C112" s="50"/>
      <c r="D112" s="50"/>
      <c r="E112" s="50"/>
      <c r="F112" s="50"/>
      <c r="G112" s="50" t="s">
        <v>233</v>
      </c>
      <c r="H112" s="51">
        <v>0</v>
      </c>
      <c r="I112" s="51">
        <v>0</v>
      </c>
      <c r="J112" s="51">
        <v>0</v>
      </c>
      <c r="K112" s="51">
        <v>0</v>
      </c>
      <c r="L112" s="51">
        <v>375</v>
      </c>
      <c r="M112" s="51">
        <v>0</v>
      </c>
      <c r="N112" s="51">
        <v>0</v>
      </c>
      <c r="O112" s="51">
        <v>0</v>
      </c>
      <c r="P112" s="51">
        <v>0</v>
      </c>
      <c r="Q112" s="51">
        <v>0</v>
      </c>
      <c r="R112" s="51">
        <v>0</v>
      </c>
      <c r="S112" s="51">
        <v>0</v>
      </c>
      <c r="T112" s="51"/>
      <c r="U112" s="51">
        <f t="shared" si="34"/>
        <v>375</v>
      </c>
      <c r="V112" s="67">
        <v>400</v>
      </c>
      <c r="W112" s="67">
        <v>400</v>
      </c>
      <c r="AB112" s="86"/>
      <c r="AC112" s="86"/>
      <c r="AD112" s="86"/>
      <c r="AE112" s="86"/>
      <c r="AF112" s="86"/>
      <c r="AG112" s="86" t="s">
        <v>233</v>
      </c>
      <c r="AH112" s="87"/>
      <c r="AI112" s="87"/>
      <c r="AJ112" s="87"/>
      <c r="AK112" s="87"/>
      <c r="AL112" s="87">
        <v>0</v>
      </c>
      <c r="AM112" s="87">
        <v>0</v>
      </c>
      <c r="AN112" s="87">
        <v>0</v>
      </c>
      <c r="AO112" s="87">
        <v>0</v>
      </c>
      <c r="AP112" s="87">
        <v>0</v>
      </c>
      <c r="AQ112" s="87">
        <v>0</v>
      </c>
      <c r="AR112" s="87">
        <v>375</v>
      </c>
      <c r="AS112" s="87">
        <v>0</v>
      </c>
      <c r="AT112" s="87">
        <v>0</v>
      </c>
      <c r="AU112" s="87">
        <v>0</v>
      </c>
      <c r="AV112" s="87">
        <v>0</v>
      </c>
      <c r="AW112" s="87">
        <v>0</v>
      </c>
      <c r="AX112" s="87"/>
      <c r="AY112" s="88">
        <f t="shared" si="35"/>
        <v>375</v>
      </c>
      <c r="AZ112" s="88">
        <v>200</v>
      </c>
      <c r="BA112" s="88">
        <v>400</v>
      </c>
      <c r="BB112" s="89" t="s">
        <v>250</v>
      </c>
    </row>
    <row r="113" spans="1:54" x14ac:dyDescent="0.3">
      <c r="A113" s="50"/>
      <c r="B113" s="50"/>
      <c r="C113" s="50"/>
      <c r="D113" s="50"/>
      <c r="E113" s="50"/>
      <c r="F113" s="50"/>
      <c r="G113" s="50" t="s">
        <v>152</v>
      </c>
      <c r="H113" s="51">
        <v>435</v>
      </c>
      <c r="I113" s="51">
        <v>0</v>
      </c>
      <c r="J113" s="51">
        <v>1275</v>
      </c>
      <c r="K113" s="51">
        <v>315</v>
      </c>
      <c r="L113" s="51">
        <v>420</v>
      </c>
      <c r="M113" s="51">
        <v>300</v>
      </c>
      <c r="N113" s="51">
        <v>360</v>
      </c>
      <c r="O113" s="51">
        <v>435</v>
      </c>
      <c r="P113" s="51">
        <v>0</v>
      </c>
      <c r="Q113" s="51">
        <v>0</v>
      </c>
      <c r="R113" s="51">
        <v>1910</v>
      </c>
      <c r="S113" s="51">
        <v>1350</v>
      </c>
      <c r="T113" s="51"/>
      <c r="U113" s="51">
        <f t="shared" si="34"/>
        <v>6800</v>
      </c>
      <c r="V113" s="67">
        <v>30000</v>
      </c>
      <c r="W113" s="67">
        <v>30000</v>
      </c>
      <c r="AB113" s="86"/>
      <c r="AC113" s="86"/>
      <c r="AD113" s="86"/>
      <c r="AE113" s="86"/>
      <c r="AF113" s="86"/>
      <c r="AG113" s="86" t="s">
        <v>152</v>
      </c>
      <c r="AH113" s="87"/>
      <c r="AI113" s="87"/>
      <c r="AJ113" s="87"/>
      <c r="AK113" s="87"/>
      <c r="AL113" s="87">
        <v>540</v>
      </c>
      <c r="AM113" s="87">
        <v>60</v>
      </c>
      <c r="AN113" s="87">
        <v>0</v>
      </c>
      <c r="AO113" s="87">
        <v>0</v>
      </c>
      <c r="AP113" s="87">
        <v>650</v>
      </c>
      <c r="AQ113" s="87">
        <v>1360</v>
      </c>
      <c r="AR113" s="87">
        <v>170</v>
      </c>
      <c r="AS113" s="87">
        <v>60</v>
      </c>
      <c r="AT113" s="87">
        <v>1700</v>
      </c>
      <c r="AU113" s="87">
        <v>0</v>
      </c>
      <c r="AV113" s="87">
        <v>1245</v>
      </c>
      <c r="AW113" s="87">
        <v>1215</v>
      </c>
      <c r="AX113" s="87"/>
      <c r="AY113" s="88">
        <f t="shared" si="35"/>
        <v>7000</v>
      </c>
      <c r="AZ113" s="88">
        <v>30000</v>
      </c>
      <c r="BA113" s="88">
        <v>30000</v>
      </c>
      <c r="BB113" s="89" t="s">
        <v>251</v>
      </c>
    </row>
    <row r="114" spans="1:54" x14ac:dyDescent="0.3">
      <c r="A114" s="50"/>
      <c r="B114" s="50"/>
      <c r="C114" s="50"/>
      <c r="D114" s="50"/>
      <c r="E114" s="50"/>
      <c r="F114" s="50"/>
      <c r="G114" s="50" t="s">
        <v>153</v>
      </c>
      <c r="H114" s="51">
        <v>445.33</v>
      </c>
      <c r="I114" s="51">
        <v>445.33</v>
      </c>
      <c r="J114" s="51">
        <v>445.33</v>
      </c>
      <c r="K114" s="51">
        <v>365.4</v>
      </c>
      <c r="L114" s="51">
        <v>365.4</v>
      </c>
      <c r="M114" s="51">
        <v>365.4</v>
      </c>
      <c r="N114" s="51">
        <v>365.4</v>
      </c>
      <c r="O114" s="51">
        <v>445.33</v>
      </c>
      <c r="P114" s="51">
        <v>445.33</v>
      </c>
      <c r="Q114" s="51">
        <v>445.33</v>
      </c>
      <c r="R114" s="51">
        <v>445.33</v>
      </c>
      <c r="S114" s="51">
        <v>445.33</v>
      </c>
      <c r="T114" s="51"/>
      <c r="U114" s="51">
        <f t="shared" si="34"/>
        <v>5024.24</v>
      </c>
      <c r="V114" s="67">
        <v>5400</v>
      </c>
      <c r="W114" s="115">
        <v>5400</v>
      </c>
      <c r="AB114" s="86"/>
      <c r="AC114" s="86"/>
      <c r="AD114" s="86"/>
      <c r="AE114" s="86"/>
      <c r="AF114" s="86"/>
      <c r="AG114" s="86" t="s">
        <v>153</v>
      </c>
      <c r="AH114" s="87"/>
      <c r="AI114" s="87"/>
      <c r="AJ114" s="87"/>
      <c r="AK114" s="87"/>
      <c r="AL114" s="87">
        <v>445.33</v>
      </c>
      <c r="AM114" s="87">
        <v>445.33</v>
      </c>
      <c r="AN114" s="87">
        <v>445.33</v>
      </c>
      <c r="AO114" s="87">
        <v>365.4</v>
      </c>
      <c r="AP114" s="87">
        <v>365.4</v>
      </c>
      <c r="AQ114" s="87">
        <v>365.4</v>
      </c>
      <c r="AR114" s="87">
        <v>445.33</v>
      </c>
      <c r="AS114" s="87">
        <v>445.33</v>
      </c>
      <c r="AT114" s="87">
        <v>445.33</v>
      </c>
      <c r="AU114" s="87">
        <v>445.33</v>
      </c>
      <c r="AV114" s="87">
        <v>445.33</v>
      </c>
      <c r="AW114" s="87">
        <v>445.33</v>
      </c>
      <c r="AX114" s="87"/>
      <c r="AY114" s="88">
        <f t="shared" si="35"/>
        <v>5104.17</v>
      </c>
      <c r="AZ114" s="88">
        <v>5400</v>
      </c>
      <c r="BA114" s="88">
        <v>5400</v>
      </c>
      <c r="BB114" s="89"/>
    </row>
    <row r="115" spans="1:54" x14ac:dyDescent="0.3">
      <c r="A115" s="50"/>
      <c r="B115" s="50"/>
      <c r="C115" s="50"/>
      <c r="D115" s="50"/>
      <c r="E115" s="50"/>
      <c r="F115" s="50"/>
      <c r="G115" s="50" t="s">
        <v>154</v>
      </c>
      <c r="H115" s="51">
        <v>0</v>
      </c>
      <c r="I115" s="51">
        <v>0</v>
      </c>
      <c r="J115" s="51">
        <v>0</v>
      </c>
      <c r="K115" s="51">
        <v>0</v>
      </c>
      <c r="L115" s="51">
        <v>0</v>
      </c>
      <c r="M115" s="51">
        <v>266</v>
      </c>
      <c r="N115" s="51">
        <v>0</v>
      </c>
      <c r="O115" s="51">
        <v>0</v>
      </c>
      <c r="P115" s="51">
        <v>28</v>
      </c>
      <c r="Q115" s="51">
        <v>0</v>
      </c>
      <c r="R115" s="51">
        <v>0</v>
      </c>
      <c r="S115" s="51">
        <v>0</v>
      </c>
      <c r="T115" s="51"/>
      <c r="U115" s="51">
        <f t="shared" si="34"/>
        <v>294</v>
      </c>
      <c r="V115" s="67">
        <v>1800</v>
      </c>
      <c r="W115" s="67">
        <v>1800</v>
      </c>
      <c r="AB115" s="86"/>
      <c r="AC115" s="86"/>
      <c r="AD115" s="86"/>
      <c r="AE115" s="86"/>
      <c r="AF115" s="86"/>
      <c r="AG115" s="86" t="s">
        <v>154</v>
      </c>
      <c r="AH115" s="87"/>
      <c r="AI115" s="87"/>
      <c r="AJ115" s="87"/>
      <c r="AK115" s="87"/>
      <c r="AL115" s="87">
        <v>0</v>
      </c>
      <c r="AM115" s="87">
        <v>0</v>
      </c>
      <c r="AN115" s="87">
        <v>384</v>
      </c>
      <c r="AO115" s="87">
        <v>0</v>
      </c>
      <c r="AP115" s="87">
        <v>469.18</v>
      </c>
      <c r="AQ115" s="87">
        <v>103.23</v>
      </c>
      <c r="AR115" s="87">
        <v>0</v>
      </c>
      <c r="AS115" s="87">
        <v>0</v>
      </c>
      <c r="AT115" s="87">
        <v>0</v>
      </c>
      <c r="AU115" s="87">
        <v>0</v>
      </c>
      <c r="AV115" s="87">
        <v>0</v>
      </c>
      <c r="AW115" s="87">
        <v>0</v>
      </c>
      <c r="AX115" s="87"/>
      <c r="AY115" s="88">
        <f t="shared" si="35"/>
        <v>956.41</v>
      </c>
      <c r="AZ115" s="88">
        <v>1800</v>
      </c>
      <c r="BA115" s="88">
        <v>1800</v>
      </c>
      <c r="BB115" s="89"/>
    </row>
    <row r="116" spans="1:54" x14ac:dyDescent="0.3">
      <c r="A116" s="50"/>
      <c r="B116" s="50"/>
      <c r="C116" s="50"/>
      <c r="D116" s="50"/>
      <c r="E116" s="50"/>
      <c r="F116" s="50"/>
      <c r="G116" s="50" t="s">
        <v>238</v>
      </c>
      <c r="H116" s="51">
        <v>0</v>
      </c>
      <c r="I116" s="51">
        <v>0</v>
      </c>
      <c r="J116" s="51">
        <v>0</v>
      </c>
      <c r="K116" s="51">
        <v>0</v>
      </c>
      <c r="L116" s="51">
        <v>0</v>
      </c>
      <c r="M116" s="51">
        <v>0</v>
      </c>
      <c r="N116" s="51">
        <v>0</v>
      </c>
      <c r="O116" s="51">
        <v>0</v>
      </c>
      <c r="P116" s="51">
        <v>0</v>
      </c>
      <c r="Q116" s="51">
        <v>0</v>
      </c>
      <c r="R116" s="51">
        <v>0</v>
      </c>
      <c r="S116" s="51">
        <v>0</v>
      </c>
      <c r="T116" s="51"/>
      <c r="U116" s="51">
        <v>0</v>
      </c>
      <c r="V116" s="67">
        <v>300</v>
      </c>
      <c r="W116" s="67">
        <v>300</v>
      </c>
      <c r="AB116" s="86"/>
      <c r="AC116" s="86"/>
      <c r="AD116" s="86"/>
      <c r="AE116" s="86"/>
      <c r="AF116" s="86"/>
      <c r="AG116" s="86" t="s">
        <v>238</v>
      </c>
      <c r="AH116" s="87"/>
      <c r="AI116" s="87"/>
      <c r="AJ116" s="87"/>
      <c r="AK116" s="87"/>
      <c r="AL116" s="87">
        <v>0</v>
      </c>
      <c r="AM116" s="87">
        <v>0</v>
      </c>
      <c r="AN116" s="87">
        <v>0</v>
      </c>
      <c r="AO116" s="87">
        <v>0</v>
      </c>
      <c r="AP116" s="87">
        <v>0</v>
      </c>
      <c r="AQ116" s="87">
        <v>0</v>
      </c>
      <c r="AR116" s="87">
        <v>0</v>
      </c>
      <c r="AS116" s="87">
        <v>0</v>
      </c>
      <c r="AT116" s="87">
        <v>0</v>
      </c>
      <c r="AU116" s="87">
        <v>0</v>
      </c>
      <c r="AV116" s="87">
        <v>0</v>
      </c>
      <c r="AW116" s="87">
        <v>0</v>
      </c>
      <c r="AX116" s="87"/>
      <c r="AY116" s="88">
        <f t="shared" si="35"/>
        <v>0</v>
      </c>
      <c r="AZ116" s="88">
        <v>250</v>
      </c>
      <c r="BA116" s="88">
        <v>300</v>
      </c>
      <c r="BB116" s="89"/>
    </row>
    <row r="117" spans="1:54" x14ac:dyDescent="0.3">
      <c r="A117" s="50"/>
      <c r="B117" s="50"/>
      <c r="C117" s="50"/>
      <c r="D117" s="50"/>
      <c r="E117" s="50"/>
      <c r="F117" s="50"/>
      <c r="G117" s="50" t="s">
        <v>155</v>
      </c>
      <c r="H117" s="51">
        <v>0</v>
      </c>
      <c r="I117" s="51">
        <v>365</v>
      </c>
      <c r="J117" s="51">
        <v>0</v>
      </c>
      <c r="K117" s="51">
        <v>0</v>
      </c>
      <c r="L117" s="51">
        <v>0</v>
      </c>
      <c r="M117" s="51">
        <v>0</v>
      </c>
      <c r="N117" s="51">
        <v>219</v>
      </c>
      <c r="O117" s="51">
        <v>0</v>
      </c>
      <c r="P117" s="51">
        <v>0</v>
      </c>
      <c r="Q117" s="51">
        <v>0</v>
      </c>
      <c r="R117" s="51">
        <v>0</v>
      </c>
      <c r="S117" s="51">
        <v>0</v>
      </c>
      <c r="T117" s="51"/>
      <c r="U117" s="51">
        <f t="shared" si="34"/>
        <v>584</v>
      </c>
      <c r="V117" s="67">
        <v>2500</v>
      </c>
      <c r="W117" s="67">
        <v>2500</v>
      </c>
      <c r="AB117" s="86"/>
      <c r="AC117" s="86"/>
      <c r="AD117" s="86"/>
      <c r="AE117" s="86"/>
      <c r="AF117" s="86"/>
      <c r="AG117" s="86" t="s">
        <v>155</v>
      </c>
      <c r="AH117" s="87"/>
      <c r="AI117" s="87"/>
      <c r="AJ117" s="87"/>
      <c r="AK117" s="87"/>
      <c r="AL117" s="87">
        <v>0</v>
      </c>
      <c r="AM117" s="87">
        <v>0</v>
      </c>
      <c r="AN117" s="87">
        <v>0</v>
      </c>
      <c r="AO117" s="87">
        <v>0</v>
      </c>
      <c r="AP117" s="87">
        <v>0</v>
      </c>
      <c r="AQ117" s="87">
        <v>0</v>
      </c>
      <c r="AR117" s="87">
        <v>0</v>
      </c>
      <c r="AS117" s="87">
        <v>0</v>
      </c>
      <c r="AT117" s="87">
        <v>0</v>
      </c>
      <c r="AU117" s="87">
        <v>0</v>
      </c>
      <c r="AV117" s="87">
        <v>63</v>
      </c>
      <c r="AW117" s="87">
        <v>0</v>
      </c>
      <c r="AX117" s="87"/>
      <c r="AY117" s="88">
        <f t="shared" si="35"/>
        <v>63</v>
      </c>
      <c r="AZ117" s="88">
        <v>2500</v>
      </c>
      <c r="BA117" s="88">
        <v>2500</v>
      </c>
      <c r="BB117" s="89"/>
    </row>
    <row r="118" spans="1:54" x14ac:dyDescent="0.3">
      <c r="A118" s="50"/>
      <c r="B118" s="50"/>
      <c r="C118" s="50"/>
      <c r="D118" s="50"/>
      <c r="E118" s="50"/>
      <c r="F118" s="50"/>
      <c r="G118" s="50" t="s">
        <v>156</v>
      </c>
      <c r="H118" s="51">
        <v>13.59</v>
      </c>
      <c r="I118" s="51">
        <v>1982.42</v>
      </c>
      <c r="J118" s="51">
        <v>1019.56</v>
      </c>
      <c r="K118" s="51">
        <v>0</v>
      </c>
      <c r="L118" s="51">
        <v>0</v>
      </c>
      <c r="M118" s="51">
        <v>0</v>
      </c>
      <c r="N118" s="51">
        <v>700</v>
      </c>
      <c r="O118" s="51">
        <v>0</v>
      </c>
      <c r="P118" s="51">
        <v>0</v>
      </c>
      <c r="Q118" s="51">
        <v>3900</v>
      </c>
      <c r="R118" s="51">
        <v>0</v>
      </c>
      <c r="S118" s="51">
        <v>15</v>
      </c>
      <c r="T118" s="51"/>
      <c r="U118" s="51">
        <f t="shared" si="34"/>
        <v>7630.57</v>
      </c>
      <c r="V118" s="67">
        <v>30000</v>
      </c>
      <c r="W118" s="67">
        <v>30000</v>
      </c>
      <c r="AB118" s="86"/>
      <c r="AC118" s="86"/>
      <c r="AD118" s="86"/>
      <c r="AE118" s="86"/>
      <c r="AF118" s="86"/>
      <c r="AG118" s="86" t="s">
        <v>156</v>
      </c>
      <c r="AH118" s="87"/>
      <c r="AI118" s="87"/>
      <c r="AJ118" s="87"/>
      <c r="AK118" s="87"/>
      <c r="AL118" s="87">
        <v>0</v>
      </c>
      <c r="AM118" s="87">
        <v>378</v>
      </c>
      <c r="AN118" s="87">
        <v>425</v>
      </c>
      <c r="AO118" s="87">
        <v>0</v>
      </c>
      <c r="AP118" s="87">
        <v>100</v>
      </c>
      <c r="AQ118" s="87">
        <v>0</v>
      </c>
      <c r="AR118" s="87">
        <v>99</v>
      </c>
      <c r="AS118" s="87">
        <v>-100</v>
      </c>
      <c r="AT118" s="87">
        <v>0</v>
      </c>
      <c r="AU118" s="87">
        <v>0</v>
      </c>
      <c r="AV118" s="87">
        <v>0</v>
      </c>
      <c r="AW118" s="87">
        <v>0</v>
      </c>
      <c r="AX118" s="87"/>
      <c r="AY118" s="88">
        <f t="shared" si="35"/>
        <v>902</v>
      </c>
      <c r="AZ118" s="88">
        <v>30000</v>
      </c>
      <c r="BA118" s="88">
        <v>30000</v>
      </c>
      <c r="BB118" s="89" t="s">
        <v>251</v>
      </c>
    </row>
    <row r="119" spans="1:54" x14ac:dyDescent="0.3">
      <c r="A119" s="50"/>
      <c r="B119" s="50"/>
      <c r="C119" s="50"/>
      <c r="D119" s="50"/>
      <c r="E119" s="50"/>
      <c r="F119" s="50"/>
      <c r="G119" s="50" t="s">
        <v>157</v>
      </c>
      <c r="H119" s="51">
        <v>321.43</v>
      </c>
      <c r="I119" s="51">
        <v>48.7</v>
      </c>
      <c r="J119" s="51">
        <v>56.42</v>
      </c>
      <c r="K119" s="51">
        <v>42.97</v>
      </c>
      <c r="L119" s="51">
        <v>0</v>
      </c>
      <c r="M119" s="51">
        <v>141.88</v>
      </c>
      <c r="N119" s="51">
        <v>101.79</v>
      </c>
      <c r="O119" s="51">
        <v>0</v>
      </c>
      <c r="P119" s="51">
        <v>317.31</v>
      </c>
      <c r="Q119" s="51">
        <v>153.86000000000001</v>
      </c>
      <c r="R119" s="51">
        <v>120.73</v>
      </c>
      <c r="S119" s="51">
        <v>0</v>
      </c>
      <c r="T119" s="51"/>
      <c r="U119" s="51">
        <f t="shared" si="34"/>
        <v>1305.0899999999999</v>
      </c>
      <c r="V119" s="67">
        <v>2000</v>
      </c>
      <c r="W119" s="67">
        <v>2000</v>
      </c>
      <c r="AB119" s="86"/>
      <c r="AC119" s="86"/>
      <c r="AD119" s="86"/>
      <c r="AE119" s="86"/>
      <c r="AF119" s="86"/>
      <c r="AG119" s="86" t="s">
        <v>157</v>
      </c>
      <c r="AH119" s="87"/>
      <c r="AI119" s="87"/>
      <c r="AJ119" s="87"/>
      <c r="AK119" s="87"/>
      <c r="AL119" s="87">
        <v>0</v>
      </c>
      <c r="AM119" s="87">
        <v>75.34</v>
      </c>
      <c r="AN119" s="87">
        <v>66.03</v>
      </c>
      <c r="AO119" s="87">
        <v>100.89</v>
      </c>
      <c r="AP119" s="87">
        <v>0</v>
      </c>
      <c r="AQ119" s="87">
        <v>0</v>
      </c>
      <c r="AR119" s="87">
        <v>43.21</v>
      </c>
      <c r="AS119" s="87">
        <v>147.96</v>
      </c>
      <c r="AT119" s="87">
        <v>64.540000000000006</v>
      </c>
      <c r="AU119" s="87">
        <v>0</v>
      </c>
      <c r="AV119" s="87">
        <v>0</v>
      </c>
      <c r="AW119" s="87">
        <v>45.66</v>
      </c>
      <c r="AX119" s="87"/>
      <c r="AY119" s="88">
        <f t="shared" si="35"/>
        <v>543.63</v>
      </c>
      <c r="AZ119" s="88">
        <v>2000</v>
      </c>
      <c r="BA119" s="88">
        <v>2000</v>
      </c>
      <c r="BB119" s="89"/>
    </row>
    <row r="120" spans="1:54" x14ac:dyDescent="0.3">
      <c r="A120" s="50"/>
      <c r="B120" s="50"/>
      <c r="C120" s="50"/>
      <c r="D120" s="50"/>
      <c r="E120" s="50"/>
      <c r="F120" s="50"/>
      <c r="G120" s="50" t="s">
        <v>158</v>
      </c>
      <c r="H120" s="51">
        <v>0</v>
      </c>
      <c r="I120" s="51">
        <v>0</v>
      </c>
      <c r="J120" s="51">
        <v>0</v>
      </c>
      <c r="K120" s="51">
        <v>800</v>
      </c>
      <c r="L120" s="51">
        <v>0</v>
      </c>
      <c r="M120" s="51">
        <v>2292.25</v>
      </c>
      <c r="N120" s="51">
        <v>0</v>
      </c>
      <c r="O120" s="51">
        <v>0</v>
      </c>
      <c r="P120" s="51">
        <v>0</v>
      </c>
      <c r="Q120" s="51">
        <v>0</v>
      </c>
      <c r="R120" s="51">
        <v>0</v>
      </c>
      <c r="S120" s="51">
        <v>0</v>
      </c>
      <c r="T120" s="51"/>
      <c r="U120" s="51">
        <f t="shared" si="34"/>
        <v>3092.25</v>
      </c>
      <c r="V120" s="67">
        <v>5000</v>
      </c>
      <c r="W120" s="67">
        <v>5000</v>
      </c>
      <c r="AB120" s="86"/>
      <c r="AC120" s="86"/>
      <c r="AD120" s="86"/>
      <c r="AE120" s="86"/>
      <c r="AF120" s="86"/>
      <c r="AG120" s="86" t="s">
        <v>158</v>
      </c>
      <c r="AH120" s="87"/>
      <c r="AI120" s="87"/>
      <c r="AJ120" s="87"/>
      <c r="AK120" s="87"/>
      <c r="AL120" s="87">
        <v>0</v>
      </c>
      <c r="AM120" s="87">
        <v>0</v>
      </c>
      <c r="AN120" s="87">
        <v>0</v>
      </c>
      <c r="AO120" s="87">
        <v>0</v>
      </c>
      <c r="AP120" s="87">
        <v>0</v>
      </c>
      <c r="AQ120" s="87">
        <v>275.2</v>
      </c>
      <c r="AR120" s="87">
        <v>0</v>
      </c>
      <c r="AS120" s="87">
        <v>0</v>
      </c>
      <c r="AT120" s="87">
        <v>0</v>
      </c>
      <c r="AU120" s="87">
        <v>0</v>
      </c>
      <c r="AV120" s="87">
        <v>0</v>
      </c>
      <c r="AW120" s="87">
        <v>0</v>
      </c>
      <c r="AX120" s="87"/>
      <c r="AY120" s="88">
        <f t="shared" si="35"/>
        <v>275.2</v>
      </c>
      <c r="AZ120" s="88">
        <v>5000</v>
      </c>
      <c r="BA120" s="88">
        <v>5000</v>
      </c>
      <c r="BB120" s="89"/>
    </row>
    <row r="121" spans="1:54" x14ac:dyDescent="0.3">
      <c r="A121" s="50"/>
      <c r="B121" s="50"/>
      <c r="C121" s="50"/>
      <c r="D121" s="50"/>
      <c r="E121" s="50"/>
      <c r="F121" s="50"/>
      <c r="G121" s="50" t="s">
        <v>159</v>
      </c>
      <c r="H121" s="51">
        <v>0</v>
      </c>
      <c r="I121" s="51">
        <v>0.45</v>
      </c>
      <c r="J121" s="51">
        <v>0</v>
      </c>
      <c r="K121" s="51">
        <v>0</v>
      </c>
      <c r="L121" s="51">
        <v>0</v>
      </c>
      <c r="M121" s="51">
        <v>0</v>
      </c>
      <c r="N121" s="51">
        <v>0</v>
      </c>
      <c r="O121" s="51">
        <v>0</v>
      </c>
      <c r="P121" s="51">
        <v>0</v>
      </c>
      <c r="Q121" s="51">
        <v>0</v>
      </c>
      <c r="R121" s="51">
        <v>0</v>
      </c>
      <c r="S121" s="51">
        <v>0</v>
      </c>
      <c r="T121" s="51"/>
      <c r="U121" s="51">
        <f t="shared" si="34"/>
        <v>0.45</v>
      </c>
      <c r="V121" s="67">
        <v>2500</v>
      </c>
      <c r="W121" s="67">
        <v>2500</v>
      </c>
      <c r="AB121" s="86"/>
      <c r="AC121" s="86"/>
      <c r="AD121" s="86"/>
      <c r="AE121" s="86"/>
      <c r="AF121" s="86"/>
      <c r="AG121" s="86" t="s">
        <v>159</v>
      </c>
      <c r="AH121" s="87"/>
      <c r="AI121" s="87"/>
      <c r="AJ121" s="87"/>
      <c r="AK121" s="87"/>
      <c r="AL121" s="87">
        <v>66.88</v>
      </c>
      <c r="AM121" s="87">
        <v>157.94</v>
      </c>
      <c r="AN121" s="87">
        <v>166.05</v>
      </c>
      <c r="AO121" s="87">
        <v>0</v>
      </c>
      <c r="AP121" s="87">
        <v>0</v>
      </c>
      <c r="AQ121" s="87">
        <v>0</v>
      </c>
      <c r="AR121" s="87">
        <v>0</v>
      </c>
      <c r="AS121" s="87">
        <v>0</v>
      </c>
      <c r="AT121" s="87">
        <v>248.76</v>
      </c>
      <c r="AU121" s="87">
        <v>0</v>
      </c>
      <c r="AV121" s="87">
        <v>127.06</v>
      </c>
      <c r="AW121" s="87">
        <v>76.099999999999994</v>
      </c>
      <c r="AX121" s="87"/>
      <c r="AY121" s="88">
        <f t="shared" si="35"/>
        <v>842.79</v>
      </c>
      <c r="AZ121" s="88">
        <v>2500</v>
      </c>
      <c r="BA121" s="88">
        <v>2500</v>
      </c>
      <c r="BB121" s="89"/>
    </row>
    <row r="122" spans="1:54" x14ac:dyDescent="0.3">
      <c r="A122" s="50"/>
      <c r="B122" s="50"/>
      <c r="C122" s="50"/>
      <c r="D122" s="50"/>
      <c r="E122" s="50"/>
      <c r="F122" s="50"/>
      <c r="G122" s="50" t="s">
        <v>160</v>
      </c>
      <c r="H122" s="51">
        <v>50</v>
      </c>
      <c r="I122" s="51">
        <v>100</v>
      </c>
      <c r="J122" s="51">
        <v>50</v>
      </c>
      <c r="K122" s="51">
        <v>50</v>
      </c>
      <c r="L122" s="51">
        <v>50</v>
      </c>
      <c r="M122" s="51">
        <v>50</v>
      </c>
      <c r="N122" s="51">
        <v>0</v>
      </c>
      <c r="O122" s="51">
        <v>50</v>
      </c>
      <c r="P122" s="51">
        <v>50</v>
      </c>
      <c r="Q122" s="51">
        <v>50</v>
      </c>
      <c r="R122" s="51">
        <v>100</v>
      </c>
      <c r="S122" s="51">
        <v>50</v>
      </c>
      <c r="T122" s="51"/>
      <c r="U122" s="51">
        <f t="shared" si="34"/>
        <v>650</v>
      </c>
      <c r="V122" s="67">
        <v>800</v>
      </c>
      <c r="W122" s="67">
        <v>800</v>
      </c>
      <c r="AB122" s="86"/>
      <c r="AC122" s="86"/>
      <c r="AD122" s="86"/>
      <c r="AE122" s="86"/>
      <c r="AF122" s="86"/>
      <c r="AG122" s="86" t="s">
        <v>160</v>
      </c>
      <c r="AH122" s="87"/>
      <c r="AI122" s="87"/>
      <c r="AJ122" s="87"/>
      <c r="AK122" s="87"/>
      <c r="AL122" s="87">
        <v>50</v>
      </c>
      <c r="AM122" s="87">
        <v>50</v>
      </c>
      <c r="AN122" s="87">
        <v>0</v>
      </c>
      <c r="AO122" s="87">
        <v>0</v>
      </c>
      <c r="AP122" s="87">
        <v>150</v>
      </c>
      <c r="AQ122" s="87">
        <v>100</v>
      </c>
      <c r="AR122" s="87">
        <v>50</v>
      </c>
      <c r="AS122" s="87">
        <v>0</v>
      </c>
      <c r="AT122" s="87">
        <v>0</v>
      </c>
      <c r="AU122" s="87">
        <v>50</v>
      </c>
      <c r="AV122" s="87">
        <v>50</v>
      </c>
      <c r="AW122" s="87">
        <v>50</v>
      </c>
      <c r="AX122" s="87"/>
      <c r="AY122" s="88">
        <f t="shared" si="35"/>
        <v>550</v>
      </c>
      <c r="AZ122" s="88">
        <v>800</v>
      </c>
      <c r="BA122" s="88">
        <v>800</v>
      </c>
      <c r="BB122" s="89"/>
    </row>
    <row r="123" spans="1:54" ht="15" thickBot="1" x14ac:dyDescent="0.35">
      <c r="A123" s="50"/>
      <c r="B123" s="50"/>
      <c r="C123" s="50"/>
      <c r="D123" s="50"/>
      <c r="E123" s="50"/>
      <c r="F123" s="50"/>
      <c r="G123" s="50" t="s">
        <v>161</v>
      </c>
      <c r="H123" s="52">
        <v>0</v>
      </c>
      <c r="I123" s="52">
        <v>183.75</v>
      </c>
      <c r="J123" s="52">
        <v>35.770000000000003</v>
      </c>
      <c r="K123" s="52">
        <v>103.47</v>
      </c>
      <c r="L123" s="52">
        <v>67.41</v>
      </c>
      <c r="M123" s="52">
        <v>128.22</v>
      </c>
      <c r="N123" s="52">
        <v>24.99</v>
      </c>
      <c r="O123" s="52">
        <v>83.79</v>
      </c>
      <c r="P123" s="52">
        <v>108.78</v>
      </c>
      <c r="Q123" s="52">
        <v>13.69</v>
      </c>
      <c r="R123" s="52">
        <v>74.489999999999995</v>
      </c>
      <c r="S123" s="52">
        <v>177.15</v>
      </c>
      <c r="T123" s="52"/>
      <c r="U123" s="52">
        <f t="shared" si="34"/>
        <v>1001.51</v>
      </c>
      <c r="V123" s="69">
        <v>1600</v>
      </c>
      <c r="W123" s="69">
        <v>1600</v>
      </c>
      <c r="AB123" s="86"/>
      <c r="AC123" s="86"/>
      <c r="AD123" s="86"/>
      <c r="AE123" s="86"/>
      <c r="AF123" s="86"/>
      <c r="AG123" s="86" t="s">
        <v>161</v>
      </c>
      <c r="AH123" s="90"/>
      <c r="AI123" s="90"/>
      <c r="AJ123" s="90"/>
      <c r="AK123" s="90"/>
      <c r="AL123" s="90">
        <v>135.31</v>
      </c>
      <c r="AM123" s="90">
        <v>0</v>
      </c>
      <c r="AN123" s="90">
        <v>93.71</v>
      </c>
      <c r="AO123" s="90">
        <v>72.73</v>
      </c>
      <c r="AP123" s="90">
        <v>304.77999999999997</v>
      </c>
      <c r="AQ123" s="90">
        <v>41.26</v>
      </c>
      <c r="AR123" s="90">
        <v>24.99</v>
      </c>
      <c r="AS123" s="90">
        <v>87.21</v>
      </c>
      <c r="AT123" s="90">
        <v>51.92</v>
      </c>
      <c r="AU123" s="90">
        <v>91.27</v>
      </c>
      <c r="AV123" s="90">
        <v>51.85</v>
      </c>
      <c r="AW123" s="90">
        <v>209.36</v>
      </c>
      <c r="AX123" s="90"/>
      <c r="AY123" s="91">
        <f t="shared" si="35"/>
        <v>1164.3900000000001</v>
      </c>
      <c r="AZ123" s="91">
        <v>1600</v>
      </c>
      <c r="BA123" s="91">
        <v>1600</v>
      </c>
      <c r="BB123" s="92"/>
    </row>
    <row r="124" spans="1:54" x14ac:dyDescent="0.3">
      <c r="A124" s="50"/>
      <c r="B124" s="50"/>
      <c r="C124" s="50"/>
      <c r="D124" s="50"/>
      <c r="E124" s="50"/>
      <c r="F124" s="50" t="s">
        <v>162</v>
      </c>
      <c r="G124" s="50"/>
      <c r="H124" s="51">
        <f t="shared" ref="H124:S124" si="36">ROUND(SUM(H92:H123),5)</f>
        <v>4493.18</v>
      </c>
      <c r="I124" s="51">
        <f t="shared" si="36"/>
        <v>7609.06</v>
      </c>
      <c r="J124" s="51">
        <f t="shared" si="36"/>
        <v>8331.69</v>
      </c>
      <c r="K124" s="51">
        <f t="shared" si="36"/>
        <v>17856.61</v>
      </c>
      <c r="L124" s="51">
        <f t="shared" si="36"/>
        <v>7525.12</v>
      </c>
      <c r="M124" s="51">
        <f t="shared" si="36"/>
        <v>7691.51</v>
      </c>
      <c r="N124" s="51">
        <f t="shared" si="36"/>
        <v>7263.43</v>
      </c>
      <c r="O124" s="51">
        <f t="shared" si="36"/>
        <v>4806.33</v>
      </c>
      <c r="P124" s="51">
        <f t="shared" si="36"/>
        <v>5613.65</v>
      </c>
      <c r="Q124" s="51">
        <f t="shared" si="36"/>
        <v>9512.99</v>
      </c>
      <c r="R124" s="51">
        <f t="shared" si="36"/>
        <v>5872.19</v>
      </c>
      <c r="S124" s="51">
        <f t="shared" si="36"/>
        <v>7610.44</v>
      </c>
      <c r="T124" s="51"/>
      <c r="U124" s="51">
        <f t="shared" si="34"/>
        <v>94186.2</v>
      </c>
      <c r="V124" s="51">
        <f>ROUND(SUM(V92:V123),5)</f>
        <v>172150</v>
      </c>
      <c r="W124" s="51">
        <f>ROUND(SUM(W92:W123),5)</f>
        <v>179150</v>
      </c>
      <c r="AB124" s="86"/>
      <c r="AC124" s="86"/>
      <c r="AD124" s="86"/>
      <c r="AE124" s="86"/>
      <c r="AF124" s="86" t="s">
        <v>162</v>
      </c>
      <c r="AG124" s="86"/>
      <c r="AH124" s="87"/>
      <c r="AI124" s="87"/>
      <c r="AJ124" s="87"/>
      <c r="AK124" s="87"/>
      <c r="AL124" s="87">
        <f t="shared" ref="AL124:AW124" si="37">ROUND(SUM(AL92:AL123),5)</f>
        <v>4929.17</v>
      </c>
      <c r="AM124" s="87">
        <f t="shared" si="37"/>
        <v>14242.92</v>
      </c>
      <c r="AN124" s="87">
        <f t="shared" si="37"/>
        <v>8152.11</v>
      </c>
      <c r="AO124" s="87">
        <f t="shared" si="37"/>
        <v>4982.71</v>
      </c>
      <c r="AP124" s="87">
        <f t="shared" si="37"/>
        <v>6733.26</v>
      </c>
      <c r="AQ124" s="87">
        <f t="shared" si="37"/>
        <v>7174.94</v>
      </c>
      <c r="AR124" s="87">
        <f t="shared" si="37"/>
        <v>5153.53</v>
      </c>
      <c r="AS124" s="87">
        <f t="shared" si="37"/>
        <v>4437.3500000000004</v>
      </c>
      <c r="AT124" s="87">
        <f t="shared" si="37"/>
        <v>6705.44</v>
      </c>
      <c r="AU124" s="87">
        <f t="shared" si="37"/>
        <v>6301.27</v>
      </c>
      <c r="AV124" s="87">
        <f t="shared" si="37"/>
        <v>6681.79</v>
      </c>
      <c r="AW124" s="87">
        <f t="shared" si="37"/>
        <v>8959.83</v>
      </c>
      <c r="AX124" s="87"/>
      <c r="AY124" s="88">
        <f t="shared" si="35"/>
        <v>84454.32</v>
      </c>
      <c r="AZ124" s="88">
        <f>ROUND(SUM(AZ92:AZ123),5)</f>
        <v>171350</v>
      </c>
      <c r="BA124" s="88">
        <f>ROUND(SUM(BA92:BA123),5)</f>
        <v>172150</v>
      </c>
      <c r="BB124" s="89"/>
    </row>
    <row r="125" spans="1:54" x14ac:dyDescent="0.3">
      <c r="A125" s="50"/>
      <c r="B125" s="50"/>
      <c r="C125" s="50"/>
      <c r="D125" s="50"/>
      <c r="E125" s="50"/>
      <c r="F125" s="50"/>
      <c r="G125" s="50"/>
      <c r="H125" s="51"/>
      <c r="I125" s="51"/>
      <c r="J125" s="51"/>
      <c r="K125" s="51"/>
      <c r="L125" s="51"/>
      <c r="M125" s="51"/>
      <c r="N125" s="51"/>
      <c r="O125" s="51"/>
      <c r="P125" s="51"/>
      <c r="Q125" s="51"/>
      <c r="R125" s="51"/>
      <c r="S125" s="51"/>
      <c r="T125" s="51"/>
      <c r="U125" s="51"/>
      <c r="V125" s="51"/>
      <c r="W125" s="51"/>
      <c r="AB125" s="86"/>
      <c r="AC125" s="86"/>
      <c r="AD125" s="86"/>
      <c r="AE125" s="86"/>
      <c r="AF125" s="86"/>
      <c r="AG125" s="86"/>
      <c r="AH125" s="87"/>
      <c r="AI125" s="87"/>
      <c r="AJ125" s="87"/>
      <c r="AK125" s="87"/>
      <c r="AL125" s="87"/>
      <c r="AM125" s="87"/>
      <c r="AN125" s="87"/>
      <c r="AO125" s="87"/>
      <c r="AP125" s="87"/>
      <c r="AQ125" s="87"/>
      <c r="AR125" s="87"/>
      <c r="AS125" s="87"/>
      <c r="AT125" s="87"/>
      <c r="AU125" s="87"/>
      <c r="AV125" s="87"/>
      <c r="AW125" s="87"/>
      <c r="AX125" s="87"/>
      <c r="AY125" s="88"/>
      <c r="AZ125" s="88"/>
      <c r="BA125" s="88"/>
      <c r="BB125" s="89"/>
    </row>
    <row r="126" spans="1:54" x14ac:dyDescent="0.3">
      <c r="A126" s="50"/>
      <c r="B126" s="50"/>
      <c r="C126" s="50"/>
      <c r="D126" s="50"/>
      <c r="E126" s="50"/>
      <c r="F126" s="50"/>
      <c r="G126" s="50"/>
      <c r="H126" s="51"/>
      <c r="I126" s="51"/>
      <c r="J126" s="51"/>
      <c r="K126" s="51"/>
      <c r="L126" s="51"/>
      <c r="M126" s="51"/>
      <c r="N126" s="51"/>
      <c r="O126" s="51"/>
      <c r="P126" s="51"/>
      <c r="Q126" s="51"/>
      <c r="R126" s="51"/>
      <c r="S126" s="51"/>
      <c r="T126" s="51"/>
      <c r="U126" s="51"/>
      <c r="V126" s="51"/>
      <c r="W126" s="51"/>
      <c r="AB126" s="86"/>
      <c r="AC126" s="86"/>
      <c r="AD126" s="86"/>
      <c r="AE126" s="86"/>
      <c r="AF126" s="86"/>
      <c r="AG126" s="86"/>
      <c r="AH126" s="87"/>
      <c r="AI126" s="87"/>
      <c r="AJ126" s="87"/>
      <c r="AK126" s="87"/>
      <c r="AL126" s="87"/>
      <c r="AM126" s="87"/>
      <c r="AN126" s="87"/>
      <c r="AO126" s="87"/>
      <c r="AP126" s="87"/>
      <c r="AQ126" s="87"/>
      <c r="AR126" s="87"/>
      <c r="AS126" s="87"/>
      <c r="AT126" s="87"/>
      <c r="AU126" s="87"/>
      <c r="AV126" s="87"/>
      <c r="AW126" s="87"/>
      <c r="AX126" s="87"/>
      <c r="AY126" s="88"/>
      <c r="AZ126" s="88"/>
      <c r="BA126" s="88"/>
      <c r="BB126" s="89"/>
    </row>
    <row r="127" spans="1:54" x14ac:dyDescent="0.3">
      <c r="A127" s="50"/>
      <c r="B127" s="50"/>
      <c r="C127" s="50"/>
      <c r="D127" s="50"/>
      <c r="E127" s="50"/>
      <c r="F127" s="50"/>
      <c r="G127" s="50"/>
      <c r="H127" s="51"/>
      <c r="I127" s="51"/>
      <c r="J127" s="51"/>
      <c r="K127" s="51"/>
      <c r="L127" s="51"/>
      <c r="M127" s="51"/>
      <c r="N127" s="51"/>
      <c r="O127" s="51"/>
      <c r="P127" s="51"/>
      <c r="Q127" s="51"/>
      <c r="R127" s="51"/>
      <c r="S127" s="51"/>
      <c r="T127" s="51"/>
      <c r="U127" s="51"/>
      <c r="V127" s="51"/>
      <c r="W127" s="51"/>
      <c r="AB127" s="86"/>
      <c r="AC127" s="86"/>
      <c r="AD127" s="86"/>
      <c r="AE127" s="86"/>
      <c r="AF127" s="86"/>
      <c r="AG127" s="86"/>
      <c r="AH127" s="87"/>
      <c r="AI127" s="87"/>
      <c r="AJ127" s="87"/>
      <c r="AK127" s="87"/>
      <c r="AL127" s="87"/>
      <c r="AM127" s="87"/>
      <c r="AN127" s="87"/>
      <c r="AO127" s="87"/>
      <c r="AP127" s="87"/>
      <c r="AQ127" s="87"/>
      <c r="AR127" s="87"/>
      <c r="AS127" s="87"/>
      <c r="AT127" s="87"/>
      <c r="AU127" s="87"/>
      <c r="AV127" s="87"/>
      <c r="AW127" s="87"/>
      <c r="AX127" s="87"/>
      <c r="AY127" s="88"/>
      <c r="AZ127" s="88"/>
      <c r="BA127" s="88"/>
      <c r="BB127" s="89"/>
    </row>
    <row r="128" spans="1:54" x14ac:dyDescent="0.3">
      <c r="A128" s="50"/>
      <c r="B128" s="50"/>
      <c r="C128" s="50"/>
      <c r="D128" s="50"/>
      <c r="E128" s="50"/>
      <c r="F128" s="50"/>
      <c r="G128" s="50"/>
      <c r="H128" s="51"/>
      <c r="I128" s="51"/>
      <c r="J128" s="51"/>
      <c r="K128" s="51"/>
      <c r="L128" s="51"/>
      <c r="M128" s="51"/>
      <c r="N128" s="51"/>
      <c r="O128" s="51"/>
      <c r="P128" s="51"/>
      <c r="Q128" s="51"/>
      <c r="R128" s="51"/>
      <c r="S128" s="51"/>
      <c r="T128" s="51"/>
      <c r="U128" s="51"/>
      <c r="V128" s="51"/>
      <c r="W128" s="51"/>
      <c r="AB128" s="86"/>
      <c r="AC128" s="86"/>
      <c r="AD128" s="86"/>
      <c r="AE128" s="86"/>
      <c r="AF128" s="86"/>
      <c r="AG128" s="86"/>
      <c r="AH128" s="87"/>
      <c r="AI128" s="87"/>
      <c r="AJ128" s="87"/>
      <c r="AK128" s="87"/>
      <c r="AL128" s="87"/>
      <c r="AM128" s="87"/>
      <c r="AN128" s="87"/>
      <c r="AO128" s="87"/>
      <c r="AP128" s="87"/>
      <c r="AQ128" s="87"/>
      <c r="AR128" s="87"/>
      <c r="AS128" s="87"/>
      <c r="AT128" s="87"/>
      <c r="AU128" s="87"/>
      <c r="AV128" s="87"/>
      <c r="AW128" s="87"/>
      <c r="AX128" s="87"/>
      <c r="AY128" s="88"/>
      <c r="AZ128" s="88"/>
      <c r="BA128" s="88"/>
      <c r="BB128" s="89"/>
    </row>
    <row r="129" spans="1:54" x14ac:dyDescent="0.3">
      <c r="A129" s="50"/>
      <c r="B129" s="50"/>
      <c r="C129" s="50"/>
      <c r="D129" s="50"/>
      <c r="E129" s="50"/>
      <c r="F129" s="50"/>
      <c r="G129" s="50"/>
      <c r="H129" s="51"/>
      <c r="I129" s="51"/>
      <c r="J129" s="51"/>
      <c r="K129" s="51"/>
      <c r="L129" s="51"/>
      <c r="M129" s="51"/>
      <c r="N129" s="51"/>
      <c r="O129" s="51"/>
      <c r="P129" s="51"/>
      <c r="Q129" s="51"/>
      <c r="R129" s="51"/>
      <c r="S129" s="51"/>
      <c r="T129" s="51"/>
      <c r="U129" s="51"/>
      <c r="V129" s="51"/>
      <c r="W129" s="51"/>
      <c r="AB129" s="86"/>
      <c r="AC129" s="86"/>
      <c r="AD129" s="86"/>
      <c r="AE129" s="86"/>
      <c r="AF129" s="86"/>
      <c r="AG129" s="86"/>
      <c r="AH129" s="87"/>
      <c r="AI129" s="87"/>
      <c r="AJ129" s="87"/>
      <c r="AK129" s="87"/>
      <c r="AL129" s="87"/>
      <c r="AM129" s="87"/>
      <c r="AN129" s="87"/>
      <c r="AO129" s="87"/>
      <c r="AP129" s="87"/>
      <c r="AQ129" s="87"/>
      <c r="AR129" s="87"/>
      <c r="AS129" s="87"/>
      <c r="AT129" s="87"/>
      <c r="AU129" s="87"/>
      <c r="AV129" s="87"/>
      <c r="AW129" s="87"/>
      <c r="AX129" s="87"/>
      <c r="AY129" s="88"/>
      <c r="AZ129" s="88"/>
      <c r="BA129" s="88"/>
      <c r="BB129" s="89"/>
    </row>
    <row r="130" spans="1:54" x14ac:dyDescent="0.3">
      <c r="A130" s="50"/>
      <c r="B130" s="50"/>
      <c r="C130" s="50"/>
      <c r="D130" s="50"/>
      <c r="E130" s="50"/>
      <c r="F130" s="50"/>
      <c r="G130" s="50"/>
      <c r="H130" s="51"/>
      <c r="I130" s="51"/>
      <c r="J130" s="51"/>
      <c r="K130" s="51"/>
      <c r="L130" s="51"/>
      <c r="M130" s="51"/>
      <c r="N130" s="51"/>
      <c r="O130" s="51"/>
      <c r="P130" s="51"/>
      <c r="Q130" s="51"/>
      <c r="R130" s="51"/>
      <c r="S130" s="51"/>
      <c r="T130" s="51"/>
      <c r="U130" s="51"/>
      <c r="V130" s="51"/>
      <c r="W130" s="51"/>
      <c r="AB130" s="86"/>
      <c r="AC130" s="86"/>
      <c r="AD130" s="86"/>
      <c r="AE130" s="86"/>
      <c r="AF130" s="86"/>
      <c r="AG130" s="86"/>
      <c r="AH130" s="87"/>
      <c r="AI130" s="87"/>
      <c r="AJ130" s="87"/>
      <c r="AK130" s="87"/>
      <c r="AL130" s="87"/>
      <c r="AM130" s="87"/>
      <c r="AN130" s="87"/>
      <c r="AO130" s="87"/>
      <c r="AP130" s="87"/>
      <c r="AQ130" s="87"/>
      <c r="AR130" s="87"/>
      <c r="AS130" s="87"/>
      <c r="AT130" s="87"/>
      <c r="AU130" s="87"/>
      <c r="AV130" s="87"/>
      <c r="AW130" s="87"/>
      <c r="AX130" s="87"/>
      <c r="AY130" s="88"/>
      <c r="AZ130" s="88"/>
      <c r="BA130" s="88"/>
      <c r="BB130" s="89"/>
    </row>
    <row r="131" spans="1:54" x14ac:dyDescent="0.3">
      <c r="A131" s="50"/>
      <c r="B131" s="50"/>
      <c r="C131" s="50"/>
      <c r="D131" s="50"/>
      <c r="E131" s="50"/>
      <c r="F131" s="50"/>
      <c r="G131" s="50"/>
      <c r="H131" s="51"/>
      <c r="I131" s="51"/>
      <c r="J131" s="51"/>
      <c r="K131" s="51"/>
      <c r="L131" s="51"/>
      <c r="M131" s="51"/>
      <c r="N131" s="51"/>
      <c r="O131" s="51"/>
      <c r="P131" s="51"/>
      <c r="Q131" s="51"/>
      <c r="R131" s="51"/>
      <c r="S131" s="51"/>
      <c r="T131" s="51"/>
      <c r="U131" s="51"/>
      <c r="V131" s="51"/>
      <c r="W131" s="51"/>
      <c r="AB131" s="86"/>
      <c r="AC131" s="86"/>
      <c r="AD131" s="86"/>
      <c r="AE131" s="86"/>
      <c r="AF131" s="86"/>
      <c r="AG131" s="86"/>
      <c r="AH131" s="87"/>
      <c r="AI131" s="87"/>
      <c r="AJ131" s="87"/>
      <c r="AK131" s="87"/>
      <c r="AL131" s="87"/>
      <c r="AM131" s="87"/>
      <c r="AN131" s="87"/>
      <c r="AO131" s="87"/>
      <c r="AP131" s="87"/>
      <c r="AQ131" s="87"/>
      <c r="AR131" s="87"/>
      <c r="AS131" s="87"/>
      <c r="AT131" s="87"/>
      <c r="AU131" s="87"/>
      <c r="AV131" s="87"/>
      <c r="AW131" s="87"/>
      <c r="AX131" s="87"/>
      <c r="AY131" s="88"/>
      <c r="AZ131" s="88"/>
      <c r="BA131" s="88"/>
      <c r="BB131" s="89"/>
    </row>
    <row r="132" spans="1:54" x14ac:dyDescent="0.3">
      <c r="A132" s="50"/>
      <c r="B132" s="50"/>
      <c r="C132" s="50"/>
      <c r="D132" s="50"/>
      <c r="E132" s="50"/>
      <c r="F132" s="50"/>
      <c r="G132" s="50"/>
      <c r="H132" s="51"/>
      <c r="I132" s="51"/>
      <c r="J132" s="51"/>
      <c r="K132" s="51"/>
      <c r="L132" s="51"/>
      <c r="M132" s="51"/>
      <c r="N132" s="51"/>
      <c r="O132" s="51"/>
      <c r="P132" s="51"/>
      <c r="Q132" s="51"/>
      <c r="R132" s="51"/>
      <c r="S132" s="51"/>
      <c r="T132" s="51"/>
      <c r="U132" s="51"/>
      <c r="V132" s="51"/>
      <c r="W132" s="51"/>
      <c r="AB132" s="86"/>
      <c r="AC132" s="86"/>
      <c r="AD132" s="86"/>
      <c r="AE132" s="86"/>
      <c r="AF132" s="86"/>
      <c r="AG132" s="86"/>
      <c r="AH132" s="87"/>
      <c r="AI132" s="87"/>
      <c r="AJ132" s="87"/>
      <c r="AK132" s="87"/>
      <c r="AL132" s="87"/>
      <c r="AM132" s="87"/>
      <c r="AN132" s="87"/>
      <c r="AO132" s="87"/>
      <c r="AP132" s="87"/>
      <c r="AQ132" s="87"/>
      <c r="AR132" s="87"/>
      <c r="AS132" s="87"/>
      <c r="AT132" s="87"/>
      <c r="AU132" s="87"/>
      <c r="AV132" s="87"/>
      <c r="AW132" s="87"/>
      <c r="AX132" s="87"/>
      <c r="AY132" s="88"/>
      <c r="AZ132" s="88"/>
      <c r="BA132" s="88"/>
      <c r="BB132" s="89"/>
    </row>
    <row r="133" spans="1:54" x14ac:dyDescent="0.3">
      <c r="A133" s="50"/>
      <c r="B133" s="50"/>
      <c r="C133" s="50"/>
      <c r="D133" s="50"/>
      <c r="E133" s="50"/>
      <c r="F133" s="50"/>
      <c r="G133" s="50"/>
      <c r="H133" s="51"/>
      <c r="I133" s="51"/>
      <c r="J133" s="51"/>
      <c r="K133" s="51"/>
      <c r="L133" s="51"/>
      <c r="M133" s="51"/>
      <c r="N133" s="51"/>
      <c r="O133" s="51"/>
      <c r="P133" s="51"/>
      <c r="Q133" s="51"/>
      <c r="R133" s="51"/>
      <c r="S133" s="51"/>
      <c r="T133" s="51"/>
      <c r="U133" s="51"/>
      <c r="V133" s="51"/>
      <c r="W133" s="51"/>
      <c r="AB133" s="86"/>
      <c r="AC133" s="86"/>
      <c r="AD133" s="86"/>
      <c r="AE133" s="86"/>
      <c r="AF133" s="86"/>
      <c r="AG133" s="86"/>
      <c r="AH133" s="87"/>
      <c r="AI133" s="87"/>
      <c r="AJ133" s="87"/>
      <c r="AK133" s="87"/>
      <c r="AL133" s="87"/>
      <c r="AM133" s="87"/>
      <c r="AN133" s="87"/>
      <c r="AO133" s="87"/>
      <c r="AP133" s="87"/>
      <c r="AQ133" s="87"/>
      <c r="AR133" s="87"/>
      <c r="AS133" s="87"/>
      <c r="AT133" s="87"/>
      <c r="AU133" s="87"/>
      <c r="AV133" s="87"/>
      <c r="AW133" s="87"/>
      <c r="AX133" s="87"/>
      <c r="AY133" s="88"/>
      <c r="AZ133" s="88"/>
      <c r="BA133" s="88"/>
      <c r="BB133" s="89"/>
    </row>
    <row r="134" spans="1:54" x14ac:dyDescent="0.3">
      <c r="A134" s="50"/>
      <c r="B134" s="50"/>
      <c r="C134" s="50"/>
      <c r="D134" s="50"/>
      <c r="E134" s="50"/>
      <c r="F134" s="50"/>
      <c r="G134" s="50"/>
      <c r="H134" s="51"/>
      <c r="I134" s="51"/>
      <c r="J134" s="51"/>
      <c r="K134" s="51"/>
      <c r="L134" s="51"/>
      <c r="M134" s="51"/>
      <c r="N134" s="51"/>
      <c r="O134" s="51"/>
      <c r="P134" s="51"/>
      <c r="Q134" s="51"/>
      <c r="R134" s="51"/>
      <c r="S134" s="51"/>
      <c r="T134" s="51"/>
      <c r="U134" s="51"/>
      <c r="V134" s="51"/>
      <c r="W134" s="51"/>
      <c r="AB134" s="86"/>
      <c r="AC134" s="86"/>
      <c r="AD134" s="86"/>
      <c r="AE134" s="86"/>
      <c r="AF134" s="86"/>
      <c r="AG134" s="86"/>
      <c r="AH134" s="87"/>
      <c r="AI134" s="87"/>
      <c r="AJ134" s="87"/>
      <c r="AK134" s="87"/>
      <c r="AL134" s="87"/>
      <c r="AM134" s="87"/>
      <c r="AN134" s="87"/>
      <c r="AO134" s="87"/>
      <c r="AP134" s="87"/>
      <c r="AQ134" s="87"/>
      <c r="AR134" s="87"/>
      <c r="AS134" s="87"/>
      <c r="AT134" s="87"/>
      <c r="AU134" s="87"/>
      <c r="AV134" s="87"/>
      <c r="AW134" s="87"/>
      <c r="AX134" s="87"/>
      <c r="AY134" s="88"/>
      <c r="AZ134" s="88"/>
      <c r="BA134" s="88"/>
      <c r="BB134" s="89"/>
    </row>
    <row r="135" spans="1:54" x14ac:dyDescent="0.3">
      <c r="A135" s="50"/>
      <c r="B135" s="50"/>
      <c r="C135" s="50"/>
      <c r="D135" s="50"/>
      <c r="E135" s="50"/>
      <c r="F135" s="50"/>
      <c r="G135" s="50"/>
      <c r="H135" s="51"/>
      <c r="I135" s="51"/>
      <c r="J135" s="51"/>
      <c r="K135" s="51"/>
      <c r="L135" s="51"/>
      <c r="M135" s="51"/>
      <c r="N135" s="51"/>
      <c r="O135" s="51"/>
      <c r="P135" s="51"/>
      <c r="Q135" s="51"/>
      <c r="R135" s="51"/>
      <c r="S135" s="51"/>
      <c r="T135" s="51"/>
      <c r="U135" s="51"/>
      <c r="V135" s="51"/>
      <c r="W135" s="51"/>
      <c r="AB135" s="86"/>
      <c r="AC135" s="86"/>
      <c r="AD135" s="86"/>
      <c r="AE135" s="86"/>
      <c r="AF135" s="86"/>
      <c r="AG135" s="86"/>
      <c r="AH135" s="87"/>
      <c r="AI135" s="87"/>
      <c r="AJ135" s="87"/>
      <c r="AK135" s="87"/>
      <c r="AL135" s="87"/>
      <c r="AM135" s="87"/>
      <c r="AN135" s="87"/>
      <c r="AO135" s="87"/>
      <c r="AP135" s="87"/>
      <c r="AQ135" s="87"/>
      <c r="AR135" s="87"/>
      <c r="AS135" s="87"/>
      <c r="AT135" s="87"/>
      <c r="AU135" s="87"/>
      <c r="AV135" s="87"/>
      <c r="AW135" s="87"/>
      <c r="AX135" s="87"/>
      <c r="AY135" s="88"/>
      <c r="AZ135" s="88"/>
      <c r="BA135" s="88"/>
      <c r="BB135" s="89"/>
    </row>
    <row r="136" spans="1:54" x14ac:dyDescent="0.3">
      <c r="A136" s="50"/>
      <c r="B136" s="50"/>
      <c r="C136" s="50"/>
      <c r="D136" s="50"/>
      <c r="E136" s="50"/>
      <c r="F136" s="50" t="s">
        <v>163</v>
      </c>
      <c r="G136" s="50"/>
      <c r="H136" s="51"/>
      <c r="I136" s="51"/>
      <c r="J136" s="51"/>
      <c r="K136" s="51"/>
      <c r="L136" s="51"/>
      <c r="M136" s="51"/>
      <c r="N136" s="51"/>
      <c r="O136" s="51"/>
      <c r="P136" s="51"/>
      <c r="Q136" s="51"/>
      <c r="R136" s="51"/>
      <c r="S136" s="51"/>
      <c r="T136" s="51"/>
      <c r="U136" s="51"/>
      <c r="V136" s="51"/>
      <c r="W136" s="51"/>
      <c r="AB136" s="86"/>
      <c r="AC136" s="86"/>
      <c r="AD136" s="86"/>
      <c r="AE136" s="86"/>
      <c r="AF136" s="86" t="s">
        <v>163</v>
      </c>
      <c r="AG136" s="86"/>
      <c r="AH136" s="87"/>
      <c r="AI136" s="87"/>
      <c r="AJ136" s="87"/>
      <c r="AK136" s="87"/>
      <c r="AL136" s="87"/>
      <c r="AM136" s="87"/>
      <c r="AN136" s="87"/>
      <c r="AO136" s="87"/>
      <c r="AP136" s="87"/>
      <c r="AQ136" s="87"/>
      <c r="AR136" s="87"/>
      <c r="AS136" s="87"/>
      <c r="AT136" s="87"/>
      <c r="AU136" s="87"/>
      <c r="AV136" s="87"/>
      <c r="AW136" s="87"/>
      <c r="AX136" s="87"/>
      <c r="AY136" s="88"/>
      <c r="AZ136" s="88"/>
      <c r="BA136" s="88"/>
      <c r="BB136" s="89"/>
    </row>
    <row r="137" spans="1:54" x14ac:dyDescent="0.3">
      <c r="A137" s="50"/>
      <c r="B137" s="50"/>
      <c r="C137" s="50"/>
      <c r="D137" s="50"/>
      <c r="E137" s="50"/>
      <c r="F137" s="50"/>
      <c r="G137" s="50" t="s">
        <v>164</v>
      </c>
      <c r="H137" s="51">
        <v>1792.61</v>
      </c>
      <c r="I137" s="51">
        <v>0</v>
      </c>
      <c r="J137" s="51">
        <v>0</v>
      </c>
      <c r="K137" s="51">
        <v>387.88</v>
      </c>
      <c r="L137" s="51">
        <v>2523.37</v>
      </c>
      <c r="M137" s="51">
        <v>2521.58</v>
      </c>
      <c r="N137" s="51">
        <v>2451.31</v>
      </c>
      <c r="O137" s="51">
        <v>0</v>
      </c>
      <c r="P137" s="51">
        <v>223.58</v>
      </c>
      <c r="Q137" s="51">
        <v>0</v>
      </c>
      <c r="R137" s="51">
        <v>295</v>
      </c>
      <c r="S137" s="51">
        <v>190</v>
      </c>
      <c r="T137" s="51"/>
      <c r="U137" s="51">
        <f t="shared" ref="U137:U149" si="38">ROUND(SUM(H137:T137),5)</f>
        <v>10385.33</v>
      </c>
      <c r="V137" s="67">
        <v>10000</v>
      </c>
      <c r="W137" s="67">
        <v>11000</v>
      </c>
      <c r="AB137" s="86"/>
      <c r="AC137" s="86"/>
      <c r="AD137" s="86"/>
      <c r="AE137" s="86"/>
      <c r="AF137" s="86"/>
      <c r="AG137" s="86" t="s">
        <v>164</v>
      </c>
      <c r="AH137" s="87"/>
      <c r="AI137" s="87"/>
      <c r="AJ137" s="87"/>
      <c r="AK137" s="87"/>
      <c r="AL137" s="87">
        <v>0</v>
      </c>
      <c r="AM137" s="87">
        <v>0</v>
      </c>
      <c r="AN137" s="87">
        <v>256.27</v>
      </c>
      <c r="AO137" s="87">
        <v>0</v>
      </c>
      <c r="AP137" s="87">
        <v>309.95</v>
      </c>
      <c r="AQ137" s="87">
        <v>0</v>
      </c>
      <c r="AR137" s="87">
        <v>0</v>
      </c>
      <c r="AS137" s="87">
        <v>100</v>
      </c>
      <c r="AT137" s="87">
        <v>0</v>
      </c>
      <c r="AU137" s="87">
        <v>0</v>
      </c>
      <c r="AV137" s="87">
        <v>0</v>
      </c>
      <c r="AW137" s="87">
        <v>0</v>
      </c>
      <c r="AX137" s="87"/>
      <c r="AY137" s="88">
        <f t="shared" ref="AY137:AY149" si="39">ROUND(SUM(AH137:AX137),5)</f>
        <v>666.22</v>
      </c>
      <c r="AZ137" s="88">
        <v>10000</v>
      </c>
      <c r="BA137" s="88">
        <v>10000</v>
      </c>
      <c r="BB137" s="89"/>
    </row>
    <row r="138" spans="1:54" x14ac:dyDescent="0.3">
      <c r="A138" s="50"/>
      <c r="B138" s="50"/>
      <c r="C138" s="50"/>
      <c r="D138" s="50"/>
      <c r="E138" s="50"/>
      <c r="F138" s="50"/>
      <c r="G138" s="50" t="s">
        <v>165</v>
      </c>
      <c r="H138" s="51">
        <v>0</v>
      </c>
      <c r="I138" s="51">
        <v>0</v>
      </c>
      <c r="J138" s="51">
        <v>0</v>
      </c>
      <c r="K138" s="51">
        <v>0</v>
      </c>
      <c r="L138" s="51">
        <v>0</v>
      </c>
      <c r="M138" s="51">
        <v>0</v>
      </c>
      <c r="N138" s="51">
        <v>0</v>
      </c>
      <c r="O138" s="51">
        <v>0</v>
      </c>
      <c r="P138" s="51">
        <v>0</v>
      </c>
      <c r="Q138" s="51">
        <v>0</v>
      </c>
      <c r="R138" s="51">
        <v>0</v>
      </c>
      <c r="S138" s="51">
        <v>0</v>
      </c>
      <c r="T138" s="51"/>
      <c r="U138" s="51">
        <f t="shared" si="38"/>
        <v>0</v>
      </c>
      <c r="V138" s="67">
        <v>2500</v>
      </c>
      <c r="W138" s="67">
        <v>2500</v>
      </c>
      <c r="AB138" s="86"/>
      <c r="AC138" s="86"/>
      <c r="AD138" s="86"/>
      <c r="AE138" s="86"/>
      <c r="AF138" s="86"/>
      <c r="AG138" s="86" t="s">
        <v>165</v>
      </c>
      <c r="AH138" s="87"/>
      <c r="AI138" s="87"/>
      <c r="AJ138" s="87"/>
      <c r="AK138" s="87"/>
      <c r="AL138" s="87">
        <v>260</v>
      </c>
      <c r="AM138" s="87">
        <v>0</v>
      </c>
      <c r="AN138" s="87">
        <v>0</v>
      </c>
      <c r="AO138" s="87">
        <v>0</v>
      </c>
      <c r="AP138" s="87">
        <v>0</v>
      </c>
      <c r="AQ138" s="87">
        <v>0</v>
      </c>
      <c r="AR138" s="87">
        <v>55.85</v>
      </c>
      <c r="AS138" s="87">
        <v>0</v>
      </c>
      <c r="AT138" s="87">
        <v>675</v>
      </c>
      <c r="AU138" s="87">
        <v>1525</v>
      </c>
      <c r="AV138" s="87">
        <v>591</v>
      </c>
      <c r="AW138" s="87">
        <v>0</v>
      </c>
      <c r="AX138" s="87"/>
      <c r="AY138" s="88">
        <f t="shared" si="39"/>
        <v>3106.85</v>
      </c>
      <c r="AZ138" s="88">
        <v>2500</v>
      </c>
      <c r="BA138" s="88">
        <v>2500</v>
      </c>
      <c r="BB138" s="89"/>
    </row>
    <row r="139" spans="1:54" x14ac:dyDescent="0.3">
      <c r="A139" s="50"/>
      <c r="B139" s="50"/>
      <c r="C139" s="50"/>
      <c r="D139" s="50"/>
      <c r="E139" s="50"/>
      <c r="F139" s="50"/>
      <c r="G139" s="50" t="s">
        <v>166</v>
      </c>
      <c r="H139" s="51">
        <v>2668.6</v>
      </c>
      <c r="I139" s="51">
        <v>61</v>
      </c>
      <c r="J139" s="51">
        <v>490</v>
      </c>
      <c r="K139" s="51">
        <v>2228</v>
      </c>
      <c r="L139" s="51">
        <v>2690</v>
      </c>
      <c r="M139" s="51">
        <v>490</v>
      </c>
      <c r="N139" s="51">
        <v>490</v>
      </c>
      <c r="O139" s="51">
        <v>2228</v>
      </c>
      <c r="P139" s="51">
        <v>539.59</v>
      </c>
      <c r="Q139" s="51">
        <v>1304</v>
      </c>
      <c r="R139" s="51">
        <v>2228</v>
      </c>
      <c r="S139" s="51">
        <v>490</v>
      </c>
      <c r="T139" s="51"/>
      <c r="U139" s="51">
        <f t="shared" si="38"/>
        <v>15907.19</v>
      </c>
      <c r="V139" s="67">
        <v>16500</v>
      </c>
      <c r="W139" s="67">
        <v>16500</v>
      </c>
      <c r="AB139" s="86"/>
      <c r="AC139" s="86"/>
      <c r="AD139" s="86"/>
      <c r="AE139" s="86"/>
      <c r="AF139" s="86"/>
      <c r="AG139" s="86" t="s">
        <v>166</v>
      </c>
      <c r="AH139" s="87"/>
      <c r="AI139" s="87"/>
      <c r="AJ139" s="87"/>
      <c r="AK139" s="87"/>
      <c r="AL139" s="87">
        <v>2873.04</v>
      </c>
      <c r="AM139" s="87">
        <v>51</v>
      </c>
      <c r="AN139" s="87">
        <v>490</v>
      </c>
      <c r="AO139" s="87">
        <v>2228</v>
      </c>
      <c r="AP139" s="87">
        <v>650.25</v>
      </c>
      <c r="AQ139" s="87">
        <v>497.74</v>
      </c>
      <c r="AR139" s="87">
        <v>2718</v>
      </c>
      <c r="AS139" s="87">
        <v>490</v>
      </c>
      <c r="AT139" s="87">
        <v>490</v>
      </c>
      <c r="AU139" s="87">
        <v>504.13</v>
      </c>
      <c r="AV139" s="87">
        <v>2433.37</v>
      </c>
      <c r="AW139" s="87">
        <v>0</v>
      </c>
      <c r="AX139" s="87"/>
      <c r="AY139" s="88">
        <f t="shared" si="39"/>
        <v>13425.53</v>
      </c>
      <c r="AZ139" s="88">
        <v>16500</v>
      </c>
      <c r="BA139" s="88">
        <v>16500</v>
      </c>
      <c r="BB139" s="89"/>
    </row>
    <row r="140" spans="1:54" x14ac:dyDescent="0.3">
      <c r="A140" s="50"/>
      <c r="B140" s="50"/>
      <c r="C140" s="50"/>
      <c r="D140" s="50"/>
      <c r="E140" s="50"/>
      <c r="F140" s="50"/>
      <c r="G140" s="50" t="s">
        <v>167</v>
      </c>
      <c r="H140" s="51">
        <v>900</v>
      </c>
      <c r="I140" s="51">
        <v>46</v>
      </c>
      <c r="J140" s="51">
        <v>450</v>
      </c>
      <c r="K140" s="51">
        <v>496</v>
      </c>
      <c r="L140" s="51">
        <v>691</v>
      </c>
      <c r="M140" s="51">
        <v>450</v>
      </c>
      <c r="N140" s="51">
        <v>546</v>
      </c>
      <c r="O140" s="51">
        <v>500</v>
      </c>
      <c r="P140" s="51">
        <v>546</v>
      </c>
      <c r="Q140" s="51">
        <v>500</v>
      </c>
      <c r="R140" s="51">
        <v>496</v>
      </c>
      <c r="S140" s="51">
        <v>450</v>
      </c>
      <c r="T140" s="51"/>
      <c r="U140" s="51">
        <f t="shared" si="38"/>
        <v>6071</v>
      </c>
      <c r="V140" s="67">
        <v>6000</v>
      </c>
      <c r="W140" s="67">
        <v>6800</v>
      </c>
      <c r="AB140" s="86"/>
      <c r="AC140" s="86"/>
      <c r="AD140" s="86"/>
      <c r="AE140" s="86"/>
      <c r="AF140" s="86"/>
      <c r="AG140" s="86" t="s">
        <v>167</v>
      </c>
      <c r="AH140" s="87"/>
      <c r="AI140" s="87"/>
      <c r="AJ140" s="87"/>
      <c r="AK140" s="87"/>
      <c r="AL140" s="87">
        <v>496</v>
      </c>
      <c r="AM140" s="87">
        <v>450</v>
      </c>
      <c r="AN140" s="87">
        <v>496</v>
      </c>
      <c r="AO140" s="87">
        <v>450</v>
      </c>
      <c r="AP140" s="87">
        <v>450</v>
      </c>
      <c r="AQ140" s="87">
        <v>496</v>
      </c>
      <c r="AR140" s="87">
        <v>496</v>
      </c>
      <c r="AS140" s="87">
        <v>450</v>
      </c>
      <c r="AT140" s="87">
        <v>496</v>
      </c>
      <c r="AU140" s="87">
        <v>450</v>
      </c>
      <c r="AV140" s="87">
        <v>496</v>
      </c>
      <c r="AW140" s="87">
        <v>450</v>
      </c>
      <c r="AX140" s="87"/>
      <c r="AY140" s="88">
        <f t="shared" si="39"/>
        <v>5676</v>
      </c>
      <c r="AZ140" s="88">
        <v>6000</v>
      </c>
      <c r="BA140" s="88">
        <v>6000</v>
      </c>
      <c r="BB140" s="89"/>
    </row>
    <row r="141" spans="1:54" x14ac:dyDescent="0.3">
      <c r="A141" s="50"/>
      <c r="B141" s="50"/>
      <c r="C141" s="50"/>
      <c r="D141" s="50"/>
      <c r="E141" s="50"/>
      <c r="F141" s="50"/>
      <c r="G141" s="50" t="s">
        <v>168</v>
      </c>
      <c r="H141" s="51">
        <v>0</v>
      </c>
      <c r="I141" s="51">
        <v>1400</v>
      </c>
      <c r="J141" s="51">
        <v>0</v>
      </c>
      <c r="K141" s="51">
        <v>0</v>
      </c>
      <c r="L141" s="51">
        <v>400</v>
      </c>
      <c r="M141" s="51">
        <v>0</v>
      </c>
      <c r="N141" s="51">
        <v>0</v>
      </c>
      <c r="O141" s="51">
        <v>0</v>
      </c>
      <c r="P141" s="51">
        <v>0</v>
      </c>
      <c r="Q141" s="51">
        <v>0</v>
      </c>
      <c r="R141" s="51">
        <v>0</v>
      </c>
      <c r="S141" s="51">
        <v>800</v>
      </c>
      <c r="T141" s="51"/>
      <c r="U141" s="51">
        <f t="shared" si="38"/>
        <v>2600</v>
      </c>
      <c r="V141" s="67">
        <v>2500</v>
      </c>
      <c r="W141" s="67">
        <v>2500</v>
      </c>
      <c r="AB141" s="86"/>
      <c r="AC141" s="86"/>
      <c r="AD141" s="86"/>
      <c r="AE141" s="86"/>
      <c r="AF141" s="86"/>
      <c r="AG141" s="86" t="s">
        <v>168</v>
      </c>
      <c r="AH141" s="87"/>
      <c r="AI141" s="87"/>
      <c r="AJ141" s="87"/>
      <c r="AK141" s="87"/>
      <c r="AL141" s="87">
        <v>300</v>
      </c>
      <c r="AM141" s="87">
        <v>0</v>
      </c>
      <c r="AN141" s="87">
        <v>0</v>
      </c>
      <c r="AO141" s="87">
        <v>0</v>
      </c>
      <c r="AP141" s="87">
        <v>0</v>
      </c>
      <c r="AQ141" s="87">
        <v>0</v>
      </c>
      <c r="AR141" s="87">
        <v>0</v>
      </c>
      <c r="AS141" s="87">
        <v>0</v>
      </c>
      <c r="AT141" s="87">
        <v>0</v>
      </c>
      <c r="AU141" s="87">
        <v>0</v>
      </c>
      <c r="AV141" s="87">
        <v>0</v>
      </c>
      <c r="AW141" s="87">
        <v>0</v>
      </c>
      <c r="AX141" s="87"/>
      <c r="AY141" s="88">
        <f t="shared" si="39"/>
        <v>300</v>
      </c>
      <c r="AZ141" s="88">
        <v>3500</v>
      </c>
      <c r="BA141" s="88">
        <v>2500</v>
      </c>
      <c r="BB141" s="89" t="s">
        <v>252</v>
      </c>
    </row>
    <row r="142" spans="1:54" x14ac:dyDescent="0.3">
      <c r="A142" s="50"/>
      <c r="B142" s="50"/>
      <c r="C142" s="50"/>
      <c r="D142" s="50"/>
      <c r="E142" s="50"/>
      <c r="F142" s="50"/>
      <c r="G142" s="50" t="s">
        <v>169</v>
      </c>
      <c r="H142" s="51">
        <v>0</v>
      </c>
      <c r="I142" s="51">
        <v>0</v>
      </c>
      <c r="J142" s="51">
        <v>155</v>
      </c>
      <c r="K142" s="51">
        <v>172</v>
      </c>
      <c r="L142" s="51">
        <v>0</v>
      </c>
      <c r="M142" s="51">
        <v>930</v>
      </c>
      <c r="N142" s="51">
        <v>0</v>
      </c>
      <c r="O142" s="51">
        <v>0</v>
      </c>
      <c r="P142" s="51">
        <v>305</v>
      </c>
      <c r="Q142" s="51">
        <v>0</v>
      </c>
      <c r="R142" s="51">
        <v>125</v>
      </c>
      <c r="S142" s="51">
        <v>465</v>
      </c>
      <c r="T142" s="51"/>
      <c r="U142" s="51">
        <f t="shared" si="38"/>
        <v>2152</v>
      </c>
      <c r="V142" s="67">
        <v>2500</v>
      </c>
      <c r="W142" s="67">
        <v>2500</v>
      </c>
      <c r="AB142" s="86"/>
      <c r="AC142" s="86"/>
      <c r="AD142" s="86"/>
      <c r="AE142" s="86"/>
      <c r="AF142" s="86"/>
      <c r="AG142" s="86" t="s">
        <v>169</v>
      </c>
      <c r="AH142" s="87"/>
      <c r="AI142" s="87"/>
      <c r="AJ142" s="87"/>
      <c r="AK142" s="87"/>
      <c r="AL142" s="87">
        <v>0</v>
      </c>
      <c r="AM142" s="87">
        <v>0</v>
      </c>
      <c r="AN142" s="87">
        <v>389</v>
      </c>
      <c r="AO142" s="87">
        <v>125</v>
      </c>
      <c r="AP142" s="87">
        <v>250</v>
      </c>
      <c r="AQ142" s="87">
        <v>0</v>
      </c>
      <c r="AR142" s="87">
        <v>0</v>
      </c>
      <c r="AS142" s="87">
        <v>0</v>
      </c>
      <c r="AT142" s="87">
        <v>560</v>
      </c>
      <c r="AU142" s="87">
        <v>0</v>
      </c>
      <c r="AV142" s="87">
        <v>250</v>
      </c>
      <c r="AW142" s="87">
        <v>0</v>
      </c>
      <c r="AX142" s="87"/>
      <c r="AY142" s="88">
        <f t="shared" si="39"/>
        <v>1574</v>
      </c>
      <c r="AZ142" s="88">
        <v>2500</v>
      </c>
      <c r="BA142" s="88">
        <v>2500</v>
      </c>
      <c r="BB142" s="89"/>
    </row>
    <row r="143" spans="1:54" ht="13.8" customHeight="1" x14ac:dyDescent="0.3">
      <c r="A143" s="50"/>
      <c r="B143" s="50"/>
      <c r="C143" s="50"/>
      <c r="D143" s="50"/>
      <c r="E143" s="50"/>
      <c r="F143" s="50"/>
      <c r="G143" s="50" t="s">
        <v>170</v>
      </c>
      <c r="H143" s="51">
        <v>0</v>
      </c>
      <c r="I143" s="51">
        <v>0</v>
      </c>
      <c r="J143" s="51">
        <v>0</v>
      </c>
      <c r="K143" s="51">
        <v>0</v>
      </c>
      <c r="L143" s="51">
        <v>0</v>
      </c>
      <c r="M143" s="51">
        <v>0</v>
      </c>
      <c r="N143" s="51">
        <v>0</v>
      </c>
      <c r="O143" s="51">
        <v>0</v>
      </c>
      <c r="P143" s="51">
        <v>0</v>
      </c>
      <c r="Q143" s="51">
        <v>0</v>
      </c>
      <c r="R143" s="51">
        <v>0</v>
      </c>
      <c r="S143" s="51">
        <v>0</v>
      </c>
      <c r="T143" s="51"/>
      <c r="U143" s="51">
        <v>0</v>
      </c>
      <c r="V143" s="67">
        <v>400</v>
      </c>
      <c r="W143" s="67">
        <v>400</v>
      </c>
      <c r="AB143" s="86"/>
      <c r="AC143" s="86"/>
      <c r="AD143" s="86"/>
      <c r="AE143" s="86"/>
      <c r="AF143" s="86"/>
      <c r="AG143" s="86" t="s">
        <v>170</v>
      </c>
      <c r="AH143" s="87"/>
      <c r="AI143" s="87"/>
      <c r="AJ143" s="87"/>
      <c r="AK143" s="87"/>
      <c r="AL143" s="87">
        <v>0</v>
      </c>
      <c r="AM143" s="87">
        <v>0</v>
      </c>
      <c r="AN143" s="87">
        <v>0</v>
      </c>
      <c r="AO143" s="87">
        <v>0</v>
      </c>
      <c r="AP143" s="87">
        <v>0</v>
      </c>
      <c r="AQ143" s="87">
        <v>0</v>
      </c>
      <c r="AR143" s="87">
        <v>0</v>
      </c>
      <c r="AS143" s="87">
        <v>0</v>
      </c>
      <c r="AT143" s="87">
        <v>0</v>
      </c>
      <c r="AU143" s="87">
        <v>0</v>
      </c>
      <c r="AV143" s="87">
        <v>0</v>
      </c>
      <c r="AW143" s="87">
        <v>0</v>
      </c>
      <c r="AX143" s="87"/>
      <c r="AY143" s="88">
        <f t="shared" si="39"/>
        <v>0</v>
      </c>
      <c r="AZ143" s="88">
        <v>250</v>
      </c>
      <c r="BA143" s="88">
        <v>400</v>
      </c>
      <c r="BB143" s="89" t="s">
        <v>263</v>
      </c>
    </row>
    <row r="144" spans="1:54" ht="13.8" customHeight="1" x14ac:dyDescent="0.3">
      <c r="A144" s="50"/>
      <c r="B144" s="50"/>
      <c r="C144" s="50"/>
      <c r="D144" s="50"/>
      <c r="E144" s="50"/>
      <c r="F144" s="50"/>
      <c r="G144" s="50" t="s">
        <v>171</v>
      </c>
      <c r="H144" s="51">
        <v>333.11</v>
      </c>
      <c r="I144" s="51">
        <v>0</v>
      </c>
      <c r="J144" s="51">
        <v>666.22</v>
      </c>
      <c r="K144" s="51">
        <v>71.599999999999994</v>
      </c>
      <c r="L144" s="51">
        <v>666.22</v>
      </c>
      <c r="M144" s="51">
        <v>8306.75</v>
      </c>
      <c r="N144" s="51">
        <v>149.18</v>
      </c>
      <c r="O144" s="51">
        <v>7675.8</v>
      </c>
      <c r="P144" s="51">
        <v>327.41000000000003</v>
      </c>
      <c r="Q144" s="51">
        <v>0</v>
      </c>
      <c r="R144" s="51">
        <v>0</v>
      </c>
      <c r="S144" s="51">
        <v>758.23</v>
      </c>
      <c r="T144" s="51"/>
      <c r="U144" s="51">
        <f t="shared" si="38"/>
        <v>18954.52</v>
      </c>
      <c r="V144" s="67">
        <v>7500</v>
      </c>
      <c r="W144" s="67">
        <v>7500</v>
      </c>
      <c r="AB144" s="86"/>
      <c r="AC144" s="86"/>
      <c r="AD144" s="86"/>
      <c r="AE144" s="86"/>
      <c r="AF144" s="86"/>
      <c r="AG144" s="86" t="s">
        <v>171</v>
      </c>
      <c r="AH144" s="87"/>
      <c r="AI144" s="87"/>
      <c r="AJ144" s="87"/>
      <c r="AK144" s="87"/>
      <c r="AL144" s="87">
        <v>305.61</v>
      </c>
      <c r="AM144" s="87">
        <v>0</v>
      </c>
      <c r="AN144" s="87">
        <v>611.22</v>
      </c>
      <c r="AO144" s="87">
        <v>305.61</v>
      </c>
      <c r="AP144" s="87">
        <v>305.61</v>
      </c>
      <c r="AQ144" s="87">
        <v>414.25</v>
      </c>
      <c r="AR144" s="87">
        <v>305.61</v>
      </c>
      <c r="AS144" s="87">
        <v>0</v>
      </c>
      <c r="AT144" s="87">
        <v>611.22</v>
      </c>
      <c r="AU144" s="87">
        <v>305.61</v>
      </c>
      <c r="AV144" s="87">
        <v>305.61</v>
      </c>
      <c r="AW144" s="87">
        <v>305.61</v>
      </c>
      <c r="AX144" s="87"/>
      <c r="AY144" s="88">
        <f t="shared" si="39"/>
        <v>3775.96</v>
      </c>
      <c r="AZ144" s="88">
        <v>3700</v>
      </c>
      <c r="BA144" s="88">
        <v>7500</v>
      </c>
      <c r="BB144" s="89" t="s">
        <v>262</v>
      </c>
    </row>
    <row r="145" spans="1:56" ht="13.8" customHeight="1" x14ac:dyDescent="0.3">
      <c r="A145" s="50"/>
      <c r="B145" s="50"/>
      <c r="C145" s="50"/>
      <c r="D145" s="50"/>
      <c r="E145" s="50"/>
      <c r="F145" s="50"/>
      <c r="G145" s="50" t="s">
        <v>172</v>
      </c>
      <c r="H145" s="51">
        <v>187.95</v>
      </c>
      <c r="I145" s="51">
        <v>185.81</v>
      </c>
      <c r="J145" s="51">
        <v>187.35</v>
      </c>
      <c r="K145" s="51">
        <v>471.19</v>
      </c>
      <c r="L145" s="51">
        <v>36.840000000000003</v>
      </c>
      <c r="M145" s="51">
        <v>228.9</v>
      </c>
      <c r="N145" s="51">
        <v>0</v>
      </c>
      <c r="O145" s="51">
        <v>385.67</v>
      </c>
      <c r="P145" s="51">
        <v>484.47</v>
      </c>
      <c r="Q145" s="51">
        <v>184.32</v>
      </c>
      <c r="R145" s="51">
        <v>384.91</v>
      </c>
      <c r="S145" s="51">
        <v>185.81</v>
      </c>
      <c r="T145" s="51"/>
      <c r="U145" s="51">
        <f t="shared" si="38"/>
        <v>2923.22</v>
      </c>
      <c r="V145" s="67">
        <v>4000</v>
      </c>
      <c r="W145" s="67">
        <v>4800</v>
      </c>
      <c r="AB145" s="86"/>
      <c r="AC145" s="86"/>
      <c r="AD145" s="86"/>
      <c r="AE145" s="86"/>
      <c r="AF145" s="86"/>
      <c r="AG145" s="86" t="s">
        <v>172</v>
      </c>
      <c r="AH145" s="87"/>
      <c r="AI145" s="87"/>
      <c r="AJ145" s="87"/>
      <c r="AK145" s="87"/>
      <c r="AL145" s="87">
        <v>330.81</v>
      </c>
      <c r="AM145" s="87">
        <v>96.32</v>
      </c>
      <c r="AN145" s="87">
        <v>169.12</v>
      </c>
      <c r="AO145" s="87">
        <v>97.75</v>
      </c>
      <c r="AP145" s="87">
        <v>134.9</v>
      </c>
      <c r="AQ145" s="87">
        <v>147.91</v>
      </c>
      <c r="AR145" s="87">
        <v>325.38</v>
      </c>
      <c r="AS145" s="87">
        <v>0</v>
      </c>
      <c r="AT145" s="87">
        <v>265.42</v>
      </c>
      <c r="AU145" s="87">
        <v>163.34</v>
      </c>
      <c r="AV145" s="87">
        <v>122.25</v>
      </c>
      <c r="AW145" s="87">
        <v>199.82</v>
      </c>
      <c r="AX145" s="87"/>
      <c r="AY145" s="88">
        <f t="shared" si="39"/>
        <v>2053.02</v>
      </c>
      <c r="AZ145" s="88">
        <v>2800</v>
      </c>
      <c r="BA145" s="88">
        <v>4000</v>
      </c>
      <c r="BB145" s="89" t="s">
        <v>261</v>
      </c>
    </row>
    <row r="146" spans="1:56" x14ac:dyDescent="0.3">
      <c r="A146" s="50"/>
      <c r="B146" s="50"/>
      <c r="C146" s="50"/>
      <c r="D146" s="50"/>
      <c r="E146" s="50"/>
      <c r="F146" s="50"/>
      <c r="G146" s="50" t="s">
        <v>173</v>
      </c>
      <c r="H146" s="51">
        <v>199.95</v>
      </c>
      <c r="I146" s="51">
        <v>764.87</v>
      </c>
      <c r="J146" s="51">
        <v>199.95</v>
      </c>
      <c r="K146" s="51">
        <v>1384.11</v>
      </c>
      <c r="L146" s="51">
        <v>471.42</v>
      </c>
      <c r="M146" s="51">
        <v>1236.1400000000001</v>
      </c>
      <c r="N146" s="51">
        <v>1269.6099999999999</v>
      </c>
      <c r="O146" s="51">
        <v>258.58</v>
      </c>
      <c r="P146" s="51">
        <v>2321.1999999999998</v>
      </c>
      <c r="Q146" s="51">
        <v>1090.26</v>
      </c>
      <c r="R146" s="51">
        <v>684.66</v>
      </c>
      <c r="S146" s="51">
        <v>938.47</v>
      </c>
      <c r="T146" s="51"/>
      <c r="U146" s="51">
        <f t="shared" si="38"/>
        <v>10819.22</v>
      </c>
      <c r="V146" s="67">
        <v>13000</v>
      </c>
      <c r="W146" s="67">
        <v>13000</v>
      </c>
      <c r="AB146" s="86"/>
      <c r="AC146" s="86"/>
      <c r="AD146" s="86"/>
      <c r="AE146" s="86"/>
      <c r="AF146" s="86"/>
      <c r="AG146" s="86" t="s">
        <v>173</v>
      </c>
      <c r="AH146" s="87"/>
      <c r="AI146" s="87"/>
      <c r="AJ146" s="87"/>
      <c r="AK146" s="87"/>
      <c r="AL146" s="87">
        <v>1549.97</v>
      </c>
      <c r="AM146" s="87">
        <v>1016.67</v>
      </c>
      <c r="AN146" s="87">
        <v>1015.39</v>
      </c>
      <c r="AO146" s="87">
        <v>289.32</v>
      </c>
      <c r="AP146" s="87">
        <v>1934.04</v>
      </c>
      <c r="AQ146" s="87">
        <v>903.78</v>
      </c>
      <c r="AR146" s="87">
        <v>1184.33</v>
      </c>
      <c r="AS146" s="87">
        <v>443.68</v>
      </c>
      <c r="AT146" s="87">
        <v>1731.99</v>
      </c>
      <c r="AU146" s="87">
        <v>1022.29</v>
      </c>
      <c r="AV146" s="87">
        <v>833.3</v>
      </c>
      <c r="AW146" s="87">
        <v>572.04999999999995</v>
      </c>
      <c r="AX146" s="87"/>
      <c r="AY146" s="88">
        <f t="shared" si="39"/>
        <v>12496.81</v>
      </c>
      <c r="AZ146" s="88">
        <v>12500</v>
      </c>
      <c r="BA146" s="88">
        <v>13000</v>
      </c>
      <c r="BB146" s="89"/>
    </row>
    <row r="147" spans="1:56" ht="15" thickBot="1" x14ac:dyDescent="0.35">
      <c r="A147" s="50"/>
      <c r="B147" s="50"/>
      <c r="C147" s="50"/>
      <c r="D147" s="50"/>
      <c r="E147" s="50"/>
      <c r="F147" s="50"/>
      <c r="G147" s="50" t="s">
        <v>174</v>
      </c>
      <c r="H147" s="51">
        <v>2011.87</v>
      </c>
      <c r="I147" s="51">
        <v>0</v>
      </c>
      <c r="J147" s="51">
        <v>299.66000000000003</v>
      </c>
      <c r="K147" s="51">
        <v>1323.9</v>
      </c>
      <c r="L147" s="51">
        <v>45.99</v>
      </c>
      <c r="M147" s="51">
        <v>442.46</v>
      </c>
      <c r="N147" s="51">
        <v>0</v>
      </c>
      <c r="O147" s="51">
        <v>342.55</v>
      </c>
      <c r="P147" s="51">
        <v>0</v>
      </c>
      <c r="Q147" s="51">
        <v>60.42</v>
      </c>
      <c r="R147" s="51">
        <v>0</v>
      </c>
      <c r="S147" s="51">
        <v>11382.67</v>
      </c>
      <c r="T147" s="51"/>
      <c r="U147" s="51">
        <f t="shared" si="38"/>
        <v>15909.52</v>
      </c>
      <c r="V147" s="67">
        <v>8500</v>
      </c>
      <c r="W147" s="67">
        <v>8500</v>
      </c>
      <c r="AB147" s="86"/>
      <c r="AC147" s="86"/>
      <c r="AD147" s="86"/>
      <c r="AE147" s="86"/>
      <c r="AF147" s="86"/>
      <c r="AG147" s="86" t="s">
        <v>174</v>
      </c>
      <c r="AH147" s="87"/>
      <c r="AI147" s="87"/>
      <c r="AJ147" s="87"/>
      <c r="AK147" s="87"/>
      <c r="AL147" s="87">
        <v>0</v>
      </c>
      <c r="AM147" s="87">
        <v>0</v>
      </c>
      <c r="AN147" s="87">
        <v>188.42</v>
      </c>
      <c r="AO147" s="87">
        <v>1763.16</v>
      </c>
      <c r="AP147" s="87">
        <v>0</v>
      </c>
      <c r="AQ147" s="87">
        <v>82</v>
      </c>
      <c r="AR147" s="87">
        <v>88</v>
      </c>
      <c r="AS147" s="87">
        <v>0</v>
      </c>
      <c r="AT147" s="87">
        <v>216</v>
      </c>
      <c r="AU147" s="87">
        <v>0</v>
      </c>
      <c r="AV147" s="87">
        <v>0</v>
      </c>
      <c r="AW147" s="87">
        <v>0</v>
      </c>
      <c r="AX147" s="87"/>
      <c r="AY147" s="88">
        <f t="shared" si="39"/>
        <v>2337.58</v>
      </c>
      <c r="AZ147" s="88">
        <v>8500</v>
      </c>
      <c r="BA147" s="88">
        <v>8500</v>
      </c>
      <c r="BB147" s="89"/>
    </row>
    <row r="148" spans="1:56" ht="15" thickBot="1" x14ac:dyDescent="0.35">
      <c r="A148" s="50"/>
      <c r="B148" s="50"/>
      <c r="C148" s="50"/>
      <c r="D148" s="50"/>
      <c r="E148" s="50"/>
      <c r="F148" s="50" t="s">
        <v>175</v>
      </c>
      <c r="G148" s="50"/>
      <c r="H148" s="53">
        <f t="shared" ref="H148:S148" si="40">ROUND(SUM(H136:H147),5)</f>
        <v>8094.09</v>
      </c>
      <c r="I148" s="53">
        <f t="shared" si="40"/>
        <v>2457.6799999999998</v>
      </c>
      <c r="J148" s="53">
        <f t="shared" si="40"/>
        <v>2448.1799999999998</v>
      </c>
      <c r="K148" s="53">
        <f t="shared" si="40"/>
        <v>6534.68</v>
      </c>
      <c r="L148" s="53">
        <f t="shared" si="40"/>
        <v>7524.84</v>
      </c>
      <c r="M148" s="53">
        <f t="shared" si="40"/>
        <v>14605.83</v>
      </c>
      <c r="N148" s="53">
        <f t="shared" si="40"/>
        <v>4906.1000000000004</v>
      </c>
      <c r="O148" s="53">
        <f t="shared" si="40"/>
        <v>11390.6</v>
      </c>
      <c r="P148" s="53">
        <f t="shared" si="40"/>
        <v>4747.25</v>
      </c>
      <c r="Q148" s="53">
        <f t="shared" si="40"/>
        <v>3139</v>
      </c>
      <c r="R148" s="53">
        <f t="shared" si="40"/>
        <v>4213.57</v>
      </c>
      <c r="S148" s="53">
        <f t="shared" si="40"/>
        <v>15660.18</v>
      </c>
      <c r="T148" s="53"/>
      <c r="U148" s="53">
        <f t="shared" si="38"/>
        <v>85722</v>
      </c>
      <c r="V148" s="53">
        <f>ROUND(SUM(V136:V147),5)</f>
        <v>73400</v>
      </c>
      <c r="W148" s="53">
        <f>ROUND(SUM(W136:W147),5)</f>
        <v>76000</v>
      </c>
      <c r="AB148" s="86"/>
      <c r="AC148" s="86"/>
      <c r="AD148" s="86"/>
      <c r="AE148" s="86" t="s">
        <v>176</v>
      </c>
      <c r="AF148" s="86" t="s">
        <v>175</v>
      </c>
      <c r="AG148" s="86"/>
      <c r="AH148" s="93"/>
      <c r="AI148" s="93"/>
      <c r="AJ148" s="93"/>
      <c r="AK148" s="93"/>
      <c r="AL148" s="93">
        <f t="shared" ref="AL148:AW148" si="41">ROUND(SUM(AL136:AL147),5)</f>
        <v>6115.43</v>
      </c>
      <c r="AM148" s="93">
        <f t="shared" si="41"/>
        <v>1613.99</v>
      </c>
      <c r="AN148" s="93">
        <f t="shared" si="41"/>
        <v>3615.42</v>
      </c>
      <c r="AO148" s="93">
        <f t="shared" si="41"/>
        <v>5258.84</v>
      </c>
      <c r="AP148" s="93">
        <f t="shared" si="41"/>
        <v>4034.75</v>
      </c>
      <c r="AQ148" s="93">
        <f t="shared" si="41"/>
        <v>2541.6799999999998</v>
      </c>
      <c r="AR148" s="93">
        <f t="shared" si="41"/>
        <v>5173.17</v>
      </c>
      <c r="AS148" s="93">
        <f t="shared" si="41"/>
        <v>1483.68</v>
      </c>
      <c r="AT148" s="93">
        <f t="shared" si="41"/>
        <v>5045.63</v>
      </c>
      <c r="AU148" s="93">
        <f t="shared" si="41"/>
        <v>3970.37</v>
      </c>
      <c r="AV148" s="93">
        <f t="shared" si="41"/>
        <v>5031.53</v>
      </c>
      <c r="AW148" s="93">
        <f t="shared" si="41"/>
        <v>1527.48</v>
      </c>
      <c r="AX148" s="93"/>
      <c r="AY148" s="94">
        <f t="shared" si="39"/>
        <v>45411.97</v>
      </c>
      <c r="AZ148" s="94">
        <f>ROUND(SUM(AZ136:AZ147),5)</f>
        <v>68750</v>
      </c>
      <c r="BA148" s="94">
        <f>ROUND(SUM(BA136:BA147),5)</f>
        <v>73400</v>
      </c>
      <c r="BB148" s="95"/>
    </row>
    <row r="149" spans="1:56" x14ac:dyDescent="0.3">
      <c r="A149" s="50"/>
      <c r="B149" s="50"/>
      <c r="C149" s="50"/>
      <c r="D149" s="50"/>
      <c r="E149" s="50" t="s">
        <v>176</v>
      </c>
      <c r="F149" s="50"/>
      <c r="G149" s="50"/>
      <c r="H149" s="51">
        <f t="shared" ref="H149:S149" si="42">ROUND(H72+H76+H124+H148,5)</f>
        <v>12924.06</v>
      </c>
      <c r="I149" s="51">
        <f t="shared" si="42"/>
        <v>11023.44</v>
      </c>
      <c r="J149" s="51">
        <f t="shared" si="42"/>
        <v>11741.11</v>
      </c>
      <c r="K149" s="51">
        <f t="shared" si="42"/>
        <v>25380.53</v>
      </c>
      <c r="L149" s="51">
        <f t="shared" si="42"/>
        <v>15968.64</v>
      </c>
      <c r="M149" s="51">
        <f t="shared" si="42"/>
        <v>23086.62</v>
      </c>
      <c r="N149" s="51">
        <f t="shared" si="42"/>
        <v>12862.43</v>
      </c>
      <c r="O149" s="51">
        <f t="shared" si="42"/>
        <v>16906.099999999999</v>
      </c>
      <c r="P149" s="51">
        <f t="shared" si="42"/>
        <v>11140.94</v>
      </c>
      <c r="Q149" s="51">
        <f t="shared" si="42"/>
        <v>13429.22</v>
      </c>
      <c r="R149" s="51">
        <f t="shared" si="42"/>
        <v>10871.28</v>
      </c>
      <c r="S149" s="51">
        <f t="shared" si="42"/>
        <v>24733</v>
      </c>
      <c r="T149" s="51"/>
      <c r="U149" s="51">
        <f t="shared" si="38"/>
        <v>190067.37</v>
      </c>
      <c r="V149" s="51">
        <f>ROUND(V72+V76+V124+V148,5)</f>
        <v>255150</v>
      </c>
      <c r="W149" s="51">
        <f>ROUND(W72+W76+W124+W148,5)</f>
        <v>265550</v>
      </c>
      <c r="AB149" s="86"/>
      <c r="AC149" s="86"/>
      <c r="AD149" s="86"/>
      <c r="AE149" s="86" t="s">
        <v>177</v>
      </c>
      <c r="AF149" s="86"/>
      <c r="AG149" s="86"/>
      <c r="AH149" s="87"/>
      <c r="AI149" s="87"/>
      <c r="AJ149" s="87"/>
      <c r="AK149" s="87"/>
      <c r="AL149" s="87">
        <f t="shared" ref="AL149:AW149" si="43">ROUND(AL72+AL76+AL124+AL148,5)</f>
        <v>11309.88</v>
      </c>
      <c r="AM149" s="87">
        <f t="shared" si="43"/>
        <v>16749.12</v>
      </c>
      <c r="AN149" s="87">
        <f t="shared" si="43"/>
        <v>12622.71</v>
      </c>
      <c r="AO149" s="87">
        <f t="shared" si="43"/>
        <v>11103.24</v>
      </c>
      <c r="AP149" s="87">
        <f t="shared" si="43"/>
        <v>11446.41</v>
      </c>
      <c r="AQ149" s="87">
        <f t="shared" si="43"/>
        <v>10453.459999999999</v>
      </c>
      <c r="AR149" s="87">
        <f t="shared" si="43"/>
        <v>11012.23</v>
      </c>
      <c r="AS149" s="87">
        <f t="shared" si="43"/>
        <v>6587.86</v>
      </c>
      <c r="AT149" s="87">
        <f t="shared" si="43"/>
        <v>12475.07</v>
      </c>
      <c r="AU149" s="87">
        <f t="shared" si="43"/>
        <v>10928.87</v>
      </c>
      <c r="AV149" s="87">
        <f t="shared" si="43"/>
        <v>12329.12</v>
      </c>
      <c r="AW149" s="87">
        <f t="shared" si="43"/>
        <v>11692.02</v>
      </c>
      <c r="AX149" s="87"/>
      <c r="AY149" s="88">
        <f t="shared" si="39"/>
        <v>138709.99</v>
      </c>
      <c r="AZ149" s="88">
        <f>ROUND(AZ72+AZ76+AZ124+AZ148,5)</f>
        <v>248400</v>
      </c>
      <c r="BA149" s="88">
        <f>ROUND(BA72+BA76+BA124+BA148,5)</f>
        <v>255150</v>
      </c>
      <c r="BB149" s="89"/>
    </row>
    <row r="150" spans="1:56" x14ac:dyDescent="0.3">
      <c r="A150" s="50"/>
      <c r="B150" s="50"/>
      <c r="C150" s="50"/>
      <c r="D150" s="50"/>
      <c r="E150" s="50" t="s">
        <v>177</v>
      </c>
      <c r="F150" s="50"/>
      <c r="G150" s="50"/>
      <c r="H150" s="51"/>
      <c r="I150" s="51"/>
      <c r="J150" s="51"/>
      <c r="K150" s="51"/>
      <c r="L150" s="51"/>
      <c r="M150" s="51"/>
      <c r="N150" s="51"/>
      <c r="O150" s="51"/>
      <c r="P150" s="51"/>
      <c r="Q150" s="51"/>
      <c r="R150" s="51"/>
      <c r="S150" s="51"/>
      <c r="T150" s="51"/>
      <c r="U150" s="51"/>
      <c r="V150" s="51"/>
      <c r="W150" s="51"/>
      <c r="AB150" s="86"/>
      <c r="AC150" s="86"/>
      <c r="AD150" s="86"/>
      <c r="AE150" s="86"/>
      <c r="AF150" s="86"/>
      <c r="AG150" s="86"/>
      <c r="AH150" s="87"/>
      <c r="AI150" s="87"/>
      <c r="AJ150" s="87"/>
      <c r="AK150" s="87"/>
      <c r="AL150" s="87"/>
      <c r="AM150" s="87"/>
      <c r="AN150" s="87"/>
      <c r="AO150" s="87"/>
      <c r="AP150" s="87"/>
      <c r="AQ150" s="87"/>
      <c r="AR150" s="87"/>
      <c r="AS150" s="87"/>
      <c r="AT150" s="87"/>
      <c r="AU150" s="87"/>
      <c r="AV150" s="87"/>
      <c r="AW150" s="87"/>
      <c r="AX150" s="87"/>
      <c r="AY150" s="88"/>
      <c r="AZ150" s="88"/>
      <c r="BA150" s="88"/>
      <c r="BB150" s="89"/>
    </row>
    <row r="151" spans="1:56" x14ac:dyDescent="0.3">
      <c r="A151" s="50"/>
      <c r="B151" s="50"/>
      <c r="C151" s="50"/>
      <c r="D151" s="50"/>
      <c r="E151" s="50"/>
      <c r="F151" s="50" t="s">
        <v>178</v>
      </c>
      <c r="G151" s="50"/>
      <c r="H151" s="51"/>
      <c r="I151" s="51"/>
      <c r="J151" s="51"/>
      <c r="K151" s="51"/>
      <c r="L151" s="51"/>
      <c r="M151" s="51"/>
      <c r="N151" s="51"/>
      <c r="O151" s="51"/>
      <c r="P151" s="51"/>
      <c r="Q151" s="51"/>
      <c r="R151" s="51"/>
      <c r="S151" s="51"/>
      <c r="T151" s="51"/>
      <c r="U151" s="51"/>
      <c r="V151" s="51"/>
      <c r="W151" s="51"/>
      <c r="AB151" s="86"/>
      <c r="AC151" s="86"/>
      <c r="AD151" s="86"/>
      <c r="AE151" s="86"/>
      <c r="AF151" s="86" t="s">
        <v>178</v>
      </c>
      <c r="AG151" s="86"/>
      <c r="AH151" s="87"/>
      <c r="AI151" s="87"/>
      <c r="AJ151" s="87"/>
      <c r="AK151" s="87"/>
      <c r="AL151" s="87"/>
      <c r="AM151" s="87"/>
      <c r="AN151" s="87"/>
      <c r="AO151" s="87"/>
      <c r="AP151" s="87"/>
      <c r="AQ151" s="87"/>
      <c r="AR151" s="87"/>
      <c r="AS151" s="87"/>
      <c r="AT151" s="87"/>
      <c r="AU151" s="87"/>
      <c r="AV151" s="87"/>
      <c r="AW151" s="87"/>
      <c r="AX151" s="87"/>
      <c r="AY151" s="88"/>
      <c r="AZ151" s="88"/>
      <c r="BA151" s="88"/>
      <c r="BB151" s="89"/>
    </row>
    <row r="152" spans="1:56" ht="22.2" thickBot="1" x14ac:dyDescent="0.35">
      <c r="A152" s="50"/>
      <c r="B152" s="50"/>
      <c r="C152" s="50"/>
      <c r="D152" s="50"/>
      <c r="E152" s="50"/>
      <c r="F152" s="50"/>
      <c r="G152" s="50" t="s">
        <v>179</v>
      </c>
      <c r="H152" s="52">
        <v>0</v>
      </c>
      <c r="I152" s="52">
        <v>0</v>
      </c>
      <c r="J152" s="52">
        <v>0</v>
      </c>
      <c r="K152" s="52">
        <v>0</v>
      </c>
      <c r="L152" s="52">
        <v>0</v>
      </c>
      <c r="M152" s="52">
        <v>0</v>
      </c>
      <c r="N152" s="52">
        <v>0</v>
      </c>
      <c r="O152" s="52">
        <v>0</v>
      </c>
      <c r="P152" s="52">
        <v>0</v>
      </c>
      <c r="Q152" s="52">
        <v>0</v>
      </c>
      <c r="R152" s="52">
        <v>0</v>
      </c>
      <c r="S152" s="52">
        <v>48942.34</v>
      </c>
      <c r="T152" s="52"/>
      <c r="U152" s="52">
        <f>ROUND(SUM(H152:T152),5)</f>
        <v>48942.34</v>
      </c>
      <c r="V152" s="52">
        <v>0</v>
      </c>
      <c r="W152" s="52">
        <v>0</v>
      </c>
      <c r="X152" s="68" t="s">
        <v>205</v>
      </c>
      <c r="AB152" s="86"/>
      <c r="AC152" s="86"/>
      <c r="AD152" s="86"/>
      <c r="AE152" s="86"/>
      <c r="AF152" s="86"/>
      <c r="AG152" s="86" t="s">
        <v>179</v>
      </c>
      <c r="AH152" s="90"/>
      <c r="AI152" s="90"/>
      <c r="AJ152" s="90"/>
      <c r="AK152" s="90"/>
      <c r="AL152" s="90">
        <v>0</v>
      </c>
      <c r="AM152" s="90">
        <v>0</v>
      </c>
      <c r="AN152" s="90">
        <v>0</v>
      </c>
      <c r="AO152" s="90">
        <v>0</v>
      </c>
      <c r="AP152" s="90">
        <v>0</v>
      </c>
      <c r="AQ152" s="90">
        <v>0</v>
      </c>
      <c r="AR152" s="90">
        <v>0</v>
      </c>
      <c r="AS152" s="90">
        <v>0</v>
      </c>
      <c r="AT152" s="90">
        <v>0</v>
      </c>
      <c r="AU152" s="90">
        <v>0</v>
      </c>
      <c r="AV152" s="90">
        <v>0</v>
      </c>
      <c r="AW152" s="90">
        <v>50812.91</v>
      </c>
      <c r="AX152" s="90"/>
      <c r="AY152" s="91">
        <f>ROUND(SUM(AH152:AX152),5)</f>
        <v>50812.91</v>
      </c>
      <c r="AZ152" s="91">
        <v>0</v>
      </c>
      <c r="BA152" s="91">
        <v>0</v>
      </c>
      <c r="BB152" s="92" t="s">
        <v>205</v>
      </c>
    </row>
    <row r="153" spans="1:56" x14ac:dyDescent="0.3">
      <c r="A153" s="50"/>
      <c r="B153" s="50"/>
      <c r="C153" s="50"/>
      <c r="D153" s="50"/>
      <c r="E153" s="50"/>
      <c r="F153" s="50" t="s">
        <v>180</v>
      </c>
      <c r="G153" s="50"/>
      <c r="H153" s="51">
        <f t="shared" ref="H153:P153" si="44">ROUND(SUM(H151:H152),5)</f>
        <v>0</v>
      </c>
      <c r="I153" s="51">
        <f t="shared" si="44"/>
        <v>0</v>
      </c>
      <c r="J153" s="51">
        <f t="shared" si="44"/>
        <v>0</v>
      </c>
      <c r="K153" s="51">
        <f t="shared" si="44"/>
        <v>0</v>
      </c>
      <c r="L153" s="51">
        <f t="shared" si="44"/>
        <v>0</v>
      </c>
      <c r="M153" s="51">
        <f t="shared" si="44"/>
        <v>0</v>
      </c>
      <c r="N153" s="51">
        <f t="shared" si="44"/>
        <v>0</v>
      </c>
      <c r="O153" s="51">
        <f t="shared" si="44"/>
        <v>0</v>
      </c>
      <c r="P153" s="51">
        <f t="shared" si="44"/>
        <v>0</v>
      </c>
      <c r="Q153" s="51">
        <f>ROUND(SUM(Q151:Q152),5)</f>
        <v>0</v>
      </c>
      <c r="R153" s="51">
        <f>ROUND(SUM(R151:R152),5)</f>
        <v>0</v>
      </c>
      <c r="S153" s="51">
        <f>ROUND(SUM(S151:S152),5)</f>
        <v>48942.34</v>
      </c>
      <c r="T153" s="51"/>
      <c r="U153" s="51">
        <f>ROUND(SUM(H153:T153),5)</f>
        <v>48942.34</v>
      </c>
      <c r="V153" s="51">
        <f>ROUND(SUM(V151:V152),5)</f>
        <v>0</v>
      </c>
      <c r="W153" s="51">
        <f>ROUND(SUM(W151:W152),5)</f>
        <v>0</v>
      </c>
      <c r="AB153" s="86"/>
      <c r="AC153" s="86"/>
      <c r="AD153" s="86"/>
      <c r="AE153" s="86"/>
      <c r="AF153" s="86" t="s">
        <v>180</v>
      </c>
      <c r="AG153" s="86"/>
      <c r="AH153" s="87"/>
      <c r="AI153" s="87"/>
      <c r="AJ153" s="87"/>
      <c r="AK153" s="87"/>
      <c r="AL153" s="87">
        <f t="shared" ref="AL153:AW153" si="45">ROUND(SUM(AL151:AL152),5)</f>
        <v>0</v>
      </c>
      <c r="AM153" s="87">
        <f t="shared" si="45"/>
        <v>0</v>
      </c>
      <c r="AN153" s="87">
        <f t="shared" si="45"/>
        <v>0</v>
      </c>
      <c r="AO153" s="87">
        <f t="shared" si="45"/>
        <v>0</v>
      </c>
      <c r="AP153" s="87">
        <f t="shared" si="45"/>
        <v>0</v>
      </c>
      <c r="AQ153" s="87">
        <f t="shared" si="45"/>
        <v>0</v>
      </c>
      <c r="AR153" s="87">
        <f t="shared" si="45"/>
        <v>0</v>
      </c>
      <c r="AS153" s="87">
        <f t="shared" si="45"/>
        <v>0</v>
      </c>
      <c r="AT153" s="87">
        <f t="shared" si="45"/>
        <v>0</v>
      </c>
      <c r="AU153" s="87">
        <f t="shared" si="45"/>
        <v>0</v>
      </c>
      <c r="AV153" s="87">
        <f t="shared" si="45"/>
        <v>0</v>
      </c>
      <c r="AW153" s="87">
        <f t="shared" si="45"/>
        <v>50812.91</v>
      </c>
      <c r="AX153" s="87"/>
      <c r="AY153" s="88">
        <f>ROUND(SUM(AH153:AX153),5)</f>
        <v>50812.91</v>
      </c>
      <c r="AZ153" s="88">
        <f>ROUND(SUM(AZ151:AZ152),5)</f>
        <v>0</v>
      </c>
      <c r="BA153" s="88">
        <f>ROUND(SUM(BA151:BA152),5)</f>
        <v>0</v>
      </c>
      <c r="BB153" s="89"/>
    </row>
    <row r="154" spans="1:56" ht="15" thickBot="1" x14ac:dyDescent="0.35">
      <c r="A154" s="50"/>
      <c r="B154" s="50"/>
      <c r="C154" s="50"/>
      <c r="D154" s="50"/>
      <c r="E154" s="50"/>
      <c r="F154" s="50" t="s">
        <v>181</v>
      </c>
      <c r="G154" s="50"/>
      <c r="H154" s="52">
        <v>342.65</v>
      </c>
      <c r="I154" s="52">
        <v>153.12</v>
      </c>
      <c r="J154" s="52">
        <v>0</v>
      </c>
      <c r="K154" s="52">
        <v>299.86</v>
      </c>
      <c r="L154" s="52">
        <v>306.24</v>
      </c>
      <c r="M154" s="52">
        <v>542.07000000000005</v>
      </c>
      <c r="N154" s="52">
        <v>-96.88</v>
      </c>
      <c r="O154" s="52">
        <v>0</v>
      </c>
      <c r="P154" s="52">
        <v>243.32</v>
      </c>
      <c r="Q154" s="52">
        <v>401.94</v>
      </c>
      <c r="R154" s="52">
        <v>197.78</v>
      </c>
      <c r="S154" s="52">
        <v>400</v>
      </c>
      <c r="T154" s="52"/>
      <c r="U154" s="52">
        <f>ROUND(SUM(H154:T154),5)</f>
        <v>2790.1</v>
      </c>
      <c r="V154" s="52">
        <v>4000</v>
      </c>
      <c r="W154" s="52">
        <v>4000</v>
      </c>
      <c r="AA154" s="56"/>
      <c r="AB154" s="86"/>
      <c r="AC154" s="86"/>
      <c r="AD154" s="86"/>
      <c r="AE154" s="86" t="s">
        <v>182</v>
      </c>
      <c r="AF154" s="86" t="s">
        <v>181</v>
      </c>
      <c r="AG154" s="86"/>
      <c r="AH154" s="90"/>
      <c r="AI154" s="90"/>
      <c r="AJ154" s="90"/>
      <c r="AK154" s="90"/>
      <c r="AL154" s="90">
        <v>298.70999999999998</v>
      </c>
      <c r="AM154" s="90">
        <v>172.26</v>
      </c>
      <c r="AN154" s="90">
        <v>191.39</v>
      </c>
      <c r="AO154" s="90">
        <v>0</v>
      </c>
      <c r="AP154" s="90">
        <v>0</v>
      </c>
      <c r="AQ154" s="90">
        <v>689.18</v>
      </c>
      <c r="AR154" s="90">
        <v>484.71</v>
      </c>
      <c r="AS154" s="90">
        <v>0</v>
      </c>
      <c r="AT154" s="90">
        <v>357.28</v>
      </c>
      <c r="AU154" s="90">
        <v>185.02</v>
      </c>
      <c r="AV154" s="90">
        <v>241.33</v>
      </c>
      <c r="AW154" s="90">
        <v>416.65</v>
      </c>
      <c r="AX154" s="90"/>
      <c r="AY154" s="91">
        <f>ROUND(SUM(AH154:AX154),5)</f>
        <v>3036.53</v>
      </c>
      <c r="AZ154" s="91">
        <v>4000</v>
      </c>
      <c r="BA154" s="91">
        <v>4000</v>
      </c>
      <c r="BB154" s="92"/>
    </row>
    <row r="155" spans="1:56" x14ac:dyDescent="0.3">
      <c r="A155" s="50"/>
      <c r="B155" s="50"/>
      <c r="C155" s="50"/>
      <c r="D155" s="50"/>
      <c r="E155" s="50" t="s">
        <v>182</v>
      </c>
      <c r="F155" s="50"/>
      <c r="G155" s="50"/>
      <c r="H155" s="51">
        <f t="shared" ref="H155:P155" si="46">ROUND(H150+SUM(H153:H154),5)</f>
        <v>342.65</v>
      </c>
      <c r="I155" s="51">
        <f t="shared" si="46"/>
        <v>153.12</v>
      </c>
      <c r="J155" s="51">
        <f t="shared" si="46"/>
        <v>0</v>
      </c>
      <c r="K155" s="51">
        <f t="shared" si="46"/>
        <v>299.86</v>
      </c>
      <c r="L155" s="51">
        <f t="shared" si="46"/>
        <v>306.24</v>
      </c>
      <c r="M155" s="51">
        <f t="shared" si="46"/>
        <v>542.07000000000005</v>
      </c>
      <c r="N155" s="51">
        <f t="shared" si="46"/>
        <v>-96.88</v>
      </c>
      <c r="O155" s="51">
        <f t="shared" si="46"/>
        <v>0</v>
      </c>
      <c r="P155" s="51">
        <f t="shared" si="46"/>
        <v>243.32</v>
      </c>
      <c r="Q155" s="51">
        <f>ROUND(Q150+SUM(Q153:Q154),5)</f>
        <v>401.94</v>
      </c>
      <c r="R155" s="51">
        <f>ROUND(R150+SUM(R153:R154),5)</f>
        <v>197.78</v>
      </c>
      <c r="S155" s="51">
        <f>ROUND(S150+SUM(S153:S154),5)</f>
        <v>49342.34</v>
      </c>
      <c r="T155" s="51"/>
      <c r="U155" s="51">
        <f>ROUND(SUM(H155:T155),5)</f>
        <v>51732.44</v>
      </c>
      <c r="V155" s="51">
        <f>ROUND(V150+SUM(V153:V154),5)</f>
        <v>4000</v>
      </c>
      <c r="W155" s="51">
        <f>ROUND(W150+SUM(W153:W154),5)</f>
        <v>4000</v>
      </c>
      <c r="AB155" s="86"/>
      <c r="AC155" s="86"/>
      <c r="AD155" s="86"/>
      <c r="AE155" s="86" t="s">
        <v>183</v>
      </c>
      <c r="AF155" s="86"/>
      <c r="AG155" s="86"/>
      <c r="AH155" s="87"/>
      <c r="AI155" s="87"/>
      <c r="AJ155" s="87"/>
      <c r="AK155" s="87"/>
      <c r="AL155" s="87">
        <f t="shared" ref="AL155:AW155" si="47">ROUND(AL150+SUM(AL153:AL154),5)</f>
        <v>298.70999999999998</v>
      </c>
      <c r="AM155" s="87">
        <f t="shared" si="47"/>
        <v>172.26</v>
      </c>
      <c r="AN155" s="87">
        <f t="shared" si="47"/>
        <v>191.39</v>
      </c>
      <c r="AO155" s="87">
        <f t="shared" si="47"/>
        <v>0</v>
      </c>
      <c r="AP155" s="87">
        <f t="shared" si="47"/>
        <v>0</v>
      </c>
      <c r="AQ155" s="87">
        <f t="shared" si="47"/>
        <v>689.18</v>
      </c>
      <c r="AR155" s="87">
        <f t="shared" si="47"/>
        <v>484.71</v>
      </c>
      <c r="AS155" s="87">
        <f t="shared" si="47"/>
        <v>0</v>
      </c>
      <c r="AT155" s="87">
        <f t="shared" si="47"/>
        <v>357.28</v>
      </c>
      <c r="AU155" s="87">
        <f t="shared" si="47"/>
        <v>185.02</v>
      </c>
      <c r="AV155" s="87">
        <f t="shared" si="47"/>
        <v>241.33</v>
      </c>
      <c r="AW155" s="87">
        <f t="shared" si="47"/>
        <v>51229.56</v>
      </c>
      <c r="AX155" s="87"/>
      <c r="AY155" s="88">
        <f>ROUND(SUM(AH155:AX155),5)</f>
        <v>53849.440000000002</v>
      </c>
      <c r="AZ155" s="88">
        <f>ROUND(AZ150+SUM(AZ153:AZ154),5)</f>
        <v>4000</v>
      </c>
      <c r="BA155" s="88">
        <f>ROUND(BA150+SUM(BA153:BA154),5)</f>
        <v>4000</v>
      </c>
      <c r="BB155" s="89"/>
      <c r="BC155" s="56"/>
    </row>
    <row r="156" spans="1:56" x14ac:dyDescent="0.3">
      <c r="A156" s="50"/>
      <c r="B156" s="50"/>
      <c r="C156" s="50"/>
      <c r="D156" s="50"/>
      <c r="E156" s="50" t="s">
        <v>183</v>
      </c>
      <c r="F156" s="50"/>
      <c r="G156" s="50"/>
      <c r="H156" s="51"/>
      <c r="I156" s="51"/>
      <c r="J156" s="51"/>
      <c r="K156" s="51"/>
      <c r="L156" s="51"/>
      <c r="M156" s="51"/>
      <c r="N156" s="51"/>
      <c r="O156" s="51"/>
      <c r="P156" s="51"/>
      <c r="Q156" s="51"/>
      <c r="R156" s="51"/>
      <c r="S156" s="51"/>
      <c r="T156" s="51"/>
      <c r="U156" s="51"/>
      <c r="V156" s="51"/>
      <c r="W156" s="51"/>
      <c r="AB156" s="86"/>
      <c r="AC156" s="86"/>
      <c r="AD156" s="86"/>
      <c r="AE156" s="86"/>
      <c r="AF156" s="86"/>
      <c r="AG156" s="86"/>
      <c r="AH156" s="87"/>
      <c r="AI156" s="87"/>
      <c r="AJ156" s="87"/>
      <c r="AK156" s="87"/>
      <c r="AL156" s="87"/>
      <c r="AM156" s="87"/>
      <c r="AN156" s="87"/>
      <c r="AO156" s="87"/>
      <c r="AP156" s="87"/>
      <c r="AQ156" s="87"/>
      <c r="AR156" s="87"/>
      <c r="AS156" s="87"/>
      <c r="AT156" s="87"/>
      <c r="AU156" s="87"/>
      <c r="AV156" s="87"/>
      <c r="AW156" s="87"/>
      <c r="AX156" s="87"/>
      <c r="AY156" s="88"/>
      <c r="AZ156" s="88"/>
      <c r="BA156" s="88"/>
      <c r="BB156" s="89"/>
      <c r="BD156" s="56"/>
    </row>
    <row r="157" spans="1:56" x14ac:dyDescent="0.3">
      <c r="A157" s="50"/>
      <c r="B157" s="50"/>
      <c r="C157" s="50"/>
      <c r="D157" s="50"/>
      <c r="E157" s="50"/>
      <c r="F157" s="50" t="s">
        <v>184</v>
      </c>
      <c r="G157" s="50"/>
      <c r="H157" s="51"/>
      <c r="I157" s="51"/>
      <c r="J157" s="51"/>
      <c r="K157" s="51"/>
      <c r="L157" s="51"/>
      <c r="M157" s="51"/>
      <c r="N157" s="51"/>
      <c r="O157" s="51"/>
      <c r="P157" s="51"/>
      <c r="Q157" s="51"/>
      <c r="R157" s="51"/>
      <c r="S157" s="51"/>
      <c r="T157" s="51"/>
      <c r="U157" s="51"/>
      <c r="V157" s="51"/>
      <c r="W157" s="51"/>
      <c r="AB157" s="86"/>
      <c r="AC157" s="86"/>
      <c r="AD157" s="86"/>
      <c r="AE157" s="86"/>
      <c r="AF157" s="86" t="s">
        <v>184</v>
      </c>
      <c r="AG157" s="86"/>
      <c r="AH157" s="87"/>
      <c r="AI157" s="87"/>
      <c r="AJ157" s="87"/>
      <c r="AK157" s="87"/>
      <c r="AL157" s="87"/>
      <c r="AM157" s="87"/>
      <c r="AN157" s="87"/>
      <c r="AO157" s="87"/>
      <c r="AP157" s="87"/>
      <c r="AQ157" s="87"/>
      <c r="AR157" s="87"/>
      <c r="AS157" s="87"/>
      <c r="AT157" s="87"/>
      <c r="AU157" s="87"/>
      <c r="AV157" s="87"/>
      <c r="AW157" s="87"/>
      <c r="AX157" s="87"/>
      <c r="AY157" s="88"/>
      <c r="AZ157" s="88"/>
      <c r="BA157" s="88"/>
      <c r="BB157" s="89"/>
    </row>
    <row r="158" spans="1:56" x14ac:dyDescent="0.3">
      <c r="A158" s="50"/>
      <c r="B158" s="50"/>
      <c r="C158" s="50"/>
      <c r="D158" s="50"/>
      <c r="E158" s="50"/>
      <c r="F158" s="50"/>
      <c r="G158" s="50" t="s">
        <v>201</v>
      </c>
      <c r="H158" s="51">
        <v>0</v>
      </c>
      <c r="I158" s="51">
        <v>0</v>
      </c>
      <c r="J158" s="51">
        <v>0</v>
      </c>
      <c r="K158" s="51">
        <v>0</v>
      </c>
      <c r="L158" s="51">
        <v>0</v>
      </c>
      <c r="M158" s="51">
        <v>0</v>
      </c>
      <c r="N158" s="51">
        <v>0</v>
      </c>
      <c r="O158" s="51">
        <v>0</v>
      </c>
      <c r="P158" s="51">
        <v>0</v>
      </c>
      <c r="Q158" s="51">
        <v>0</v>
      </c>
      <c r="R158" s="51">
        <v>0</v>
      </c>
      <c r="S158" s="51">
        <v>0</v>
      </c>
      <c r="T158" s="51"/>
      <c r="U158" s="51">
        <v>0</v>
      </c>
      <c r="V158" s="67">
        <v>100000</v>
      </c>
      <c r="W158" s="67">
        <v>100000</v>
      </c>
      <c r="AB158" s="86"/>
      <c r="AC158" s="86"/>
      <c r="AD158" s="86"/>
      <c r="AE158" s="86"/>
      <c r="AF158" s="86"/>
      <c r="AG158" s="86" t="s">
        <v>201</v>
      </c>
      <c r="AH158" s="87"/>
      <c r="AI158" s="87"/>
      <c r="AJ158" s="87"/>
      <c r="AK158" s="87"/>
      <c r="AL158" s="87">
        <v>0</v>
      </c>
      <c r="AM158" s="87">
        <v>0</v>
      </c>
      <c r="AN158" s="87">
        <v>0</v>
      </c>
      <c r="AO158" s="87">
        <v>0</v>
      </c>
      <c r="AP158" s="87">
        <v>0</v>
      </c>
      <c r="AQ158" s="87">
        <v>0</v>
      </c>
      <c r="AR158" s="87">
        <v>0</v>
      </c>
      <c r="AS158" s="87">
        <v>0</v>
      </c>
      <c r="AT158" s="87">
        <v>0</v>
      </c>
      <c r="AU158" s="87">
        <v>0</v>
      </c>
      <c r="AV158" s="87">
        <v>0</v>
      </c>
      <c r="AW158" s="87">
        <v>0</v>
      </c>
      <c r="AX158" s="87"/>
      <c r="AY158" s="88">
        <f>ROUND(SUM(AH158:AX158),5)</f>
        <v>0</v>
      </c>
      <c r="AZ158" s="88">
        <v>100000</v>
      </c>
      <c r="BA158" s="88">
        <v>100000</v>
      </c>
      <c r="BB158" s="89"/>
    </row>
    <row r="159" spans="1:56" x14ac:dyDescent="0.3">
      <c r="A159" s="50"/>
      <c r="B159" s="50"/>
      <c r="C159" s="50"/>
      <c r="D159" s="50"/>
      <c r="E159" s="50"/>
      <c r="F159" s="50"/>
      <c r="G159" s="50" t="s">
        <v>202</v>
      </c>
      <c r="H159" s="51">
        <v>0</v>
      </c>
      <c r="I159" s="51">
        <v>0</v>
      </c>
      <c r="J159" s="51">
        <v>0</v>
      </c>
      <c r="K159" s="51">
        <v>0</v>
      </c>
      <c r="L159" s="51">
        <v>0</v>
      </c>
      <c r="M159" s="51">
        <v>0</v>
      </c>
      <c r="N159" s="51">
        <v>0</v>
      </c>
      <c r="O159" s="51">
        <v>1900</v>
      </c>
      <c r="P159" s="51">
        <v>0</v>
      </c>
      <c r="Q159" s="51">
        <v>0</v>
      </c>
      <c r="R159" s="51">
        <v>0</v>
      </c>
      <c r="S159" s="51">
        <v>0</v>
      </c>
      <c r="T159" s="51"/>
      <c r="U159" s="51">
        <f>ROUND(SUM(H159:T159),5)</f>
        <v>1900</v>
      </c>
      <c r="V159" s="67">
        <v>6000</v>
      </c>
      <c r="W159" s="67">
        <v>6000</v>
      </c>
      <c r="AB159" s="86"/>
      <c r="AC159" s="86"/>
      <c r="AD159" s="86"/>
      <c r="AE159" s="86"/>
      <c r="AF159" s="86"/>
      <c r="AG159" s="86" t="s">
        <v>202</v>
      </c>
      <c r="AH159" s="87"/>
      <c r="AI159" s="87"/>
      <c r="AJ159" s="87"/>
      <c r="AK159" s="87"/>
      <c r="AL159" s="87">
        <v>0</v>
      </c>
      <c r="AM159" s="87">
        <v>0</v>
      </c>
      <c r="AN159" s="87">
        <v>0</v>
      </c>
      <c r="AO159" s="87">
        <v>0</v>
      </c>
      <c r="AP159" s="87">
        <v>0</v>
      </c>
      <c r="AQ159" s="87">
        <v>0</v>
      </c>
      <c r="AR159" s="87">
        <v>0</v>
      </c>
      <c r="AS159" s="87">
        <v>0</v>
      </c>
      <c r="AT159" s="87">
        <v>0</v>
      </c>
      <c r="AU159" s="87">
        <v>0</v>
      </c>
      <c r="AV159" s="87">
        <v>0</v>
      </c>
      <c r="AW159" s="87">
        <v>0</v>
      </c>
      <c r="AX159" s="87"/>
      <c r="AY159" s="88">
        <f>ROUND(SUM(AH159:AX159),5)</f>
        <v>0</v>
      </c>
      <c r="AZ159" s="88">
        <v>6000</v>
      </c>
      <c r="BA159" s="88">
        <v>6000</v>
      </c>
      <c r="BB159" s="89"/>
    </row>
    <row r="160" spans="1:56" x14ac:dyDescent="0.3">
      <c r="A160" s="50"/>
      <c r="B160" s="50"/>
      <c r="C160" s="50"/>
      <c r="D160" s="50"/>
      <c r="E160" s="50"/>
      <c r="F160" s="50"/>
      <c r="G160" s="50" t="s">
        <v>185</v>
      </c>
      <c r="H160" s="51">
        <v>0</v>
      </c>
      <c r="I160" s="51">
        <v>0</v>
      </c>
      <c r="J160" s="51">
        <v>0</v>
      </c>
      <c r="K160" s="51">
        <v>0</v>
      </c>
      <c r="L160" s="51">
        <v>0</v>
      </c>
      <c r="M160" s="51">
        <v>0</v>
      </c>
      <c r="N160" s="51">
        <v>0</v>
      </c>
      <c r="O160" s="51">
        <v>0</v>
      </c>
      <c r="P160" s="51">
        <v>0</v>
      </c>
      <c r="Q160" s="51">
        <v>0</v>
      </c>
      <c r="R160" s="51">
        <v>0</v>
      </c>
      <c r="S160" s="51">
        <v>0</v>
      </c>
      <c r="T160" s="51"/>
      <c r="U160" s="51">
        <v>0</v>
      </c>
      <c r="V160" s="67">
        <v>7500</v>
      </c>
      <c r="W160" s="67">
        <v>7500</v>
      </c>
      <c r="AB160" s="86"/>
      <c r="AC160" s="86"/>
      <c r="AD160" s="86"/>
      <c r="AE160" s="86"/>
      <c r="AF160" s="86"/>
      <c r="AG160" s="86" t="s">
        <v>185</v>
      </c>
      <c r="AH160" s="87"/>
      <c r="AI160" s="87"/>
      <c r="AJ160" s="87"/>
      <c r="AK160" s="87"/>
      <c r="AL160" s="87">
        <v>0</v>
      </c>
      <c r="AM160" s="87">
        <v>0</v>
      </c>
      <c r="AN160" s="87">
        <v>0</v>
      </c>
      <c r="AO160" s="87">
        <v>0</v>
      </c>
      <c r="AP160" s="87">
        <v>0</v>
      </c>
      <c r="AQ160" s="87">
        <v>0</v>
      </c>
      <c r="AR160" s="87">
        <v>0</v>
      </c>
      <c r="AS160" s="87">
        <v>0</v>
      </c>
      <c r="AT160" s="87">
        <v>0</v>
      </c>
      <c r="AU160" s="87">
        <v>0</v>
      </c>
      <c r="AV160" s="87">
        <v>0</v>
      </c>
      <c r="AW160" s="87">
        <v>0</v>
      </c>
      <c r="AX160" s="87"/>
      <c r="AY160" s="88">
        <f>ROUND(SUM(AH160:AX160),5)</f>
        <v>0</v>
      </c>
      <c r="AZ160" s="88">
        <v>7500</v>
      </c>
      <c r="BA160" s="88">
        <v>7500</v>
      </c>
      <c r="BB160" s="89"/>
    </row>
    <row r="161" spans="1:56" ht="15" thickBot="1" x14ac:dyDescent="0.35">
      <c r="A161" s="50"/>
      <c r="B161" s="50"/>
      <c r="C161" s="50"/>
      <c r="D161" s="50"/>
      <c r="E161" s="50"/>
      <c r="F161" s="50"/>
      <c r="G161" s="50" t="s">
        <v>239</v>
      </c>
      <c r="H161" s="51">
        <v>0</v>
      </c>
      <c r="I161" s="51">
        <v>0</v>
      </c>
      <c r="J161" s="51">
        <v>0</v>
      </c>
      <c r="K161" s="51">
        <v>0</v>
      </c>
      <c r="L161" s="51">
        <v>0</v>
      </c>
      <c r="M161" s="51">
        <v>0</v>
      </c>
      <c r="N161" s="51">
        <v>0</v>
      </c>
      <c r="O161" s="51">
        <v>0</v>
      </c>
      <c r="P161" s="51">
        <v>0</v>
      </c>
      <c r="Q161" s="51">
        <v>0</v>
      </c>
      <c r="R161" s="51">
        <v>0</v>
      </c>
      <c r="S161" s="51">
        <v>0</v>
      </c>
      <c r="T161" s="51"/>
      <c r="U161" s="51">
        <v>0</v>
      </c>
      <c r="V161" s="67">
        <v>6000</v>
      </c>
      <c r="W161" s="67">
        <v>6000</v>
      </c>
      <c r="AB161" s="86"/>
      <c r="AC161" s="86"/>
      <c r="AD161" s="86"/>
      <c r="AE161" s="86"/>
      <c r="AF161" s="86"/>
      <c r="AG161" s="86" t="s">
        <v>239</v>
      </c>
      <c r="AH161" s="87"/>
      <c r="AI161" s="87"/>
      <c r="AJ161" s="87"/>
      <c r="AK161" s="87"/>
      <c r="AL161" s="87">
        <v>0</v>
      </c>
      <c r="AM161" s="87">
        <v>0</v>
      </c>
      <c r="AN161" s="87">
        <v>0</v>
      </c>
      <c r="AO161" s="87">
        <v>0</v>
      </c>
      <c r="AP161" s="87">
        <v>0</v>
      </c>
      <c r="AQ161" s="87">
        <v>0</v>
      </c>
      <c r="AR161" s="87">
        <v>0</v>
      </c>
      <c r="AS161" s="87">
        <v>0</v>
      </c>
      <c r="AT161" s="87">
        <v>0</v>
      </c>
      <c r="AU161" s="87">
        <v>0</v>
      </c>
      <c r="AV161" s="87">
        <v>0</v>
      </c>
      <c r="AW161" s="87">
        <v>0</v>
      </c>
      <c r="AX161" s="87"/>
      <c r="AY161" s="88">
        <f>ROUND(SUM(AH161:AX161),5)</f>
        <v>0</v>
      </c>
      <c r="AZ161" s="88">
        <v>6000</v>
      </c>
      <c r="BA161" s="88">
        <v>6000</v>
      </c>
      <c r="BB161" s="89"/>
    </row>
    <row r="162" spans="1:56" ht="15" thickBot="1" x14ac:dyDescent="0.35">
      <c r="A162" s="50"/>
      <c r="B162" s="50"/>
      <c r="C162" s="50"/>
      <c r="D162" s="50"/>
      <c r="E162" s="50"/>
      <c r="F162" s="50" t="s">
        <v>186</v>
      </c>
      <c r="G162" s="50"/>
      <c r="H162" s="53">
        <f t="shared" ref="H162:S162" si="48">ROUND(SUM(H157:H159),5)</f>
        <v>0</v>
      </c>
      <c r="I162" s="53">
        <f t="shared" si="48"/>
        <v>0</v>
      </c>
      <c r="J162" s="53">
        <f t="shared" si="48"/>
        <v>0</v>
      </c>
      <c r="K162" s="53">
        <f t="shared" si="48"/>
        <v>0</v>
      </c>
      <c r="L162" s="53">
        <f t="shared" si="48"/>
        <v>0</v>
      </c>
      <c r="M162" s="53">
        <f t="shared" si="48"/>
        <v>0</v>
      </c>
      <c r="N162" s="53">
        <f t="shared" si="48"/>
        <v>0</v>
      </c>
      <c r="O162" s="53">
        <f t="shared" si="48"/>
        <v>1900</v>
      </c>
      <c r="P162" s="53">
        <f t="shared" si="48"/>
        <v>0</v>
      </c>
      <c r="Q162" s="53">
        <f t="shared" si="48"/>
        <v>0</v>
      </c>
      <c r="R162" s="53">
        <f t="shared" si="48"/>
        <v>0</v>
      </c>
      <c r="S162" s="53">
        <f t="shared" si="48"/>
        <v>0</v>
      </c>
      <c r="T162" s="53"/>
      <c r="U162" s="53">
        <f>ROUND(SUM(H162:T162),5)</f>
        <v>1900</v>
      </c>
      <c r="V162" s="53">
        <f>ROUND(SUM(V157:V161),5)</f>
        <v>119500</v>
      </c>
      <c r="W162" s="53">
        <f>ROUND(SUM(W157:W161),5)</f>
        <v>119500</v>
      </c>
      <c r="AB162" s="86"/>
      <c r="AC162" s="86"/>
      <c r="AD162" s="86"/>
      <c r="AE162" s="86"/>
      <c r="AF162" s="86" t="s">
        <v>186</v>
      </c>
      <c r="AG162" s="86"/>
      <c r="AH162" s="93"/>
      <c r="AI162" s="93"/>
      <c r="AJ162" s="93"/>
      <c r="AK162" s="93"/>
      <c r="AL162" s="93">
        <f t="shared" ref="AL162:AW162" si="49">ROUND(SUM(AL157:AL161),5)</f>
        <v>0</v>
      </c>
      <c r="AM162" s="93">
        <f t="shared" si="49"/>
        <v>0</v>
      </c>
      <c r="AN162" s="93">
        <f t="shared" si="49"/>
        <v>0</v>
      </c>
      <c r="AO162" s="93">
        <f t="shared" si="49"/>
        <v>0</v>
      </c>
      <c r="AP162" s="93">
        <f t="shared" si="49"/>
        <v>0</v>
      </c>
      <c r="AQ162" s="93">
        <f t="shared" si="49"/>
        <v>0</v>
      </c>
      <c r="AR162" s="93">
        <f t="shared" si="49"/>
        <v>0</v>
      </c>
      <c r="AS162" s="93">
        <f t="shared" si="49"/>
        <v>0</v>
      </c>
      <c r="AT162" s="93">
        <f t="shared" si="49"/>
        <v>0</v>
      </c>
      <c r="AU162" s="93">
        <f t="shared" si="49"/>
        <v>0</v>
      </c>
      <c r="AV162" s="93">
        <f t="shared" si="49"/>
        <v>0</v>
      </c>
      <c r="AW162" s="93">
        <f t="shared" si="49"/>
        <v>0</v>
      </c>
      <c r="AX162" s="93"/>
      <c r="AY162" s="94">
        <f>ROUND(SUM(AH162:AX162),5)</f>
        <v>0</v>
      </c>
      <c r="AZ162" s="94">
        <f>ROUND(SUM(AZ157:AZ161),5)</f>
        <v>119500</v>
      </c>
      <c r="BA162" s="94">
        <f>ROUND(SUM(BA157:BA161),5)</f>
        <v>119500</v>
      </c>
      <c r="BB162" s="95"/>
    </row>
    <row r="163" spans="1:56" x14ac:dyDescent="0.3">
      <c r="A163" s="50"/>
      <c r="B163" s="50"/>
      <c r="C163" s="50"/>
      <c r="D163" s="50"/>
      <c r="E163" s="50"/>
      <c r="F163" s="50" t="s">
        <v>187</v>
      </c>
      <c r="G163" s="50"/>
      <c r="H163" s="51"/>
      <c r="I163" s="51"/>
      <c r="J163" s="51"/>
      <c r="K163" s="51"/>
      <c r="L163" s="51"/>
      <c r="M163" s="51"/>
      <c r="N163" s="51"/>
      <c r="O163" s="51"/>
      <c r="P163" s="51"/>
      <c r="Q163" s="51"/>
      <c r="R163" s="51"/>
      <c r="S163" s="51"/>
      <c r="T163" s="51"/>
      <c r="U163" s="51"/>
      <c r="V163" s="51"/>
      <c r="W163" s="51"/>
      <c r="AB163" s="86"/>
      <c r="AC163" s="86"/>
      <c r="AD163" s="86"/>
      <c r="AE163" s="86"/>
      <c r="AF163" s="86" t="s">
        <v>187</v>
      </c>
      <c r="AG163" s="86"/>
      <c r="AH163" s="87"/>
      <c r="AI163" s="87"/>
      <c r="AJ163" s="87"/>
      <c r="AK163" s="87"/>
      <c r="AL163" s="87"/>
      <c r="AM163" s="87"/>
      <c r="AN163" s="87"/>
      <c r="AO163" s="87"/>
      <c r="AP163" s="87"/>
      <c r="AQ163" s="87"/>
      <c r="AR163" s="87"/>
      <c r="AS163" s="87"/>
      <c r="AT163" s="87"/>
      <c r="AU163" s="87"/>
      <c r="AV163" s="87"/>
      <c r="AW163" s="87"/>
      <c r="AX163" s="87"/>
      <c r="AY163" s="88"/>
      <c r="AZ163" s="88"/>
      <c r="BA163" s="88"/>
      <c r="BB163" s="89"/>
    </row>
    <row r="164" spans="1:56" ht="15" thickBot="1" x14ac:dyDescent="0.35">
      <c r="A164" s="50"/>
      <c r="B164" s="50"/>
      <c r="C164" s="50"/>
      <c r="D164" s="50"/>
      <c r="E164" s="50"/>
      <c r="F164" s="50"/>
      <c r="G164" s="50" t="s">
        <v>188</v>
      </c>
      <c r="H164" s="52">
        <v>6935</v>
      </c>
      <c r="I164" s="52">
        <v>1357</v>
      </c>
      <c r="J164" s="52">
        <v>0</v>
      </c>
      <c r="K164" s="52">
        <v>0</v>
      </c>
      <c r="L164" s="52">
        <v>0</v>
      </c>
      <c r="M164" s="52">
        <v>0</v>
      </c>
      <c r="N164" s="52">
        <v>0</v>
      </c>
      <c r="O164" s="52">
        <v>0</v>
      </c>
      <c r="P164" s="52">
        <v>355787.84</v>
      </c>
      <c r="Q164" s="52">
        <v>9486.81</v>
      </c>
      <c r="R164" s="52">
        <v>0</v>
      </c>
      <c r="S164" s="52">
        <v>0</v>
      </c>
      <c r="T164" s="52"/>
      <c r="U164" s="52">
        <f>ROUND(SUM(H164:T164),5)</f>
        <v>373566.65</v>
      </c>
      <c r="V164" s="52">
        <v>150000</v>
      </c>
      <c r="W164" s="114">
        <v>1600000</v>
      </c>
      <c r="X164" s="68" t="s">
        <v>298</v>
      </c>
      <c r="AB164" s="86"/>
      <c r="AC164" s="86"/>
      <c r="AD164" s="86"/>
      <c r="AE164" s="86"/>
      <c r="AF164" s="86"/>
      <c r="AG164" s="86" t="s">
        <v>188</v>
      </c>
      <c r="AH164" s="90"/>
      <c r="AI164" s="90"/>
      <c r="AJ164" s="90"/>
      <c r="AK164" s="90"/>
      <c r="AL164" s="90">
        <v>0</v>
      </c>
      <c r="AM164" s="90">
        <v>0</v>
      </c>
      <c r="AN164" s="90">
        <v>5379.38</v>
      </c>
      <c r="AO164" s="90">
        <v>0</v>
      </c>
      <c r="AP164" s="90">
        <v>0</v>
      </c>
      <c r="AQ164" s="90">
        <v>0</v>
      </c>
      <c r="AR164" s="90">
        <v>0</v>
      </c>
      <c r="AS164" s="90">
        <v>0</v>
      </c>
      <c r="AT164" s="90">
        <v>0</v>
      </c>
      <c r="AU164" s="90">
        <v>0</v>
      </c>
      <c r="AV164" s="90">
        <v>0</v>
      </c>
      <c r="AW164" s="90">
        <v>0</v>
      </c>
      <c r="AX164" s="90"/>
      <c r="AY164" s="91">
        <f>ROUND(SUM(AH164:AX164),5)</f>
        <v>5379.38</v>
      </c>
      <c r="AZ164" s="91">
        <v>150000</v>
      </c>
      <c r="BA164" s="91">
        <v>150000</v>
      </c>
      <c r="BB164" s="92" t="s">
        <v>251</v>
      </c>
    </row>
    <row r="165" spans="1:56" x14ac:dyDescent="0.3">
      <c r="A165" s="50"/>
      <c r="B165" s="50"/>
      <c r="C165" s="50"/>
      <c r="D165" s="50"/>
      <c r="E165" s="50"/>
      <c r="F165" s="50" t="s">
        <v>189</v>
      </c>
      <c r="G165" s="50"/>
      <c r="H165" s="51">
        <f t="shared" ref="H165:P165" si="50">ROUND(SUM(H163:H164),5)</f>
        <v>6935</v>
      </c>
      <c r="I165" s="51">
        <f t="shared" si="50"/>
        <v>1357</v>
      </c>
      <c r="J165" s="51">
        <f t="shared" si="50"/>
        <v>0</v>
      </c>
      <c r="K165" s="51">
        <f t="shared" si="50"/>
        <v>0</v>
      </c>
      <c r="L165" s="51">
        <f t="shared" si="50"/>
        <v>0</v>
      </c>
      <c r="M165" s="51">
        <f t="shared" si="50"/>
        <v>0</v>
      </c>
      <c r="N165" s="51">
        <f t="shared" si="50"/>
        <v>0</v>
      </c>
      <c r="O165" s="51">
        <f t="shared" si="50"/>
        <v>0</v>
      </c>
      <c r="P165" s="51">
        <f t="shared" si="50"/>
        <v>355787.84</v>
      </c>
      <c r="Q165" s="51">
        <f>ROUND(SUM(Q163:Q164),5)</f>
        <v>9486.81</v>
      </c>
      <c r="R165" s="51">
        <f>ROUND(SUM(R163:R164),5)</f>
        <v>0</v>
      </c>
      <c r="S165" s="51">
        <f>ROUND(SUM(S163:S164),5)</f>
        <v>0</v>
      </c>
      <c r="T165" s="51"/>
      <c r="U165" s="51">
        <f>ROUND(SUM(H165:T165),5)</f>
        <v>373566.65</v>
      </c>
      <c r="V165" s="51">
        <f>ROUND(SUM(V163:V164),5)</f>
        <v>150000</v>
      </c>
      <c r="W165" s="51">
        <f>ROUND(SUM(W163:W164),5)</f>
        <v>1600000</v>
      </c>
      <c r="AB165" s="86"/>
      <c r="AC165" s="86"/>
      <c r="AD165" s="86"/>
      <c r="AE165" s="86"/>
      <c r="AF165" s="86" t="s">
        <v>189</v>
      </c>
      <c r="AG165" s="86"/>
      <c r="AH165" s="87"/>
      <c r="AI165" s="87"/>
      <c r="AJ165" s="87"/>
      <c r="AK165" s="87"/>
      <c r="AL165" s="87">
        <f t="shared" ref="AL165:AW165" si="51">ROUND(SUM(AL163:AL164),5)</f>
        <v>0</v>
      </c>
      <c r="AM165" s="87">
        <f t="shared" si="51"/>
        <v>0</v>
      </c>
      <c r="AN165" s="87">
        <f t="shared" si="51"/>
        <v>5379.38</v>
      </c>
      <c r="AO165" s="87">
        <f t="shared" si="51"/>
        <v>0</v>
      </c>
      <c r="AP165" s="87">
        <f t="shared" si="51"/>
        <v>0</v>
      </c>
      <c r="AQ165" s="87">
        <f t="shared" si="51"/>
        <v>0</v>
      </c>
      <c r="AR165" s="87">
        <f t="shared" si="51"/>
        <v>0</v>
      </c>
      <c r="AS165" s="87">
        <f t="shared" si="51"/>
        <v>0</v>
      </c>
      <c r="AT165" s="87">
        <f t="shared" si="51"/>
        <v>0</v>
      </c>
      <c r="AU165" s="87">
        <f t="shared" si="51"/>
        <v>0</v>
      </c>
      <c r="AV165" s="87">
        <f t="shared" si="51"/>
        <v>0</v>
      </c>
      <c r="AW165" s="87">
        <f t="shared" si="51"/>
        <v>0</v>
      </c>
      <c r="AX165" s="87"/>
      <c r="AY165" s="88">
        <f>ROUND(SUM(AH165:AX165),5)</f>
        <v>5379.38</v>
      </c>
      <c r="AZ165" s="88">
        <f>ROUND(SUM(AZ163:AZ164),5)</f>
        <v>150000</v>
      </c>
      <c r="BA165" s="88">
        <f>ROUND(SUM(BA163:BA164),5)</f>
        <v>150000</v>
      </c>
      <c r="BB165" s="89"/>
    </row>
    <row r="166" spans="1:56" x14ac:dyDescent="0.3">
      <c r="A166" s="50"/>
      <c r="B166" s="50"/>
      <c r="C166" s="50"/>
      <c r="D166" s="50"/>
      <c r="E166" s="50"/>
      <c r="F166" s="50" t="s">
        <v>190</v>
      </c>
      <c r="G166" s="50"/>
      <c r="H166" s="51"/>
      <c r="I166" s="51"/>
      <c r="J166" s="51"/>
      <c r="K166" s="51"/>
      <c r="L166" s="51"/>
      <c r="M166" s="51"/>
      <c r="N166" s="51"/>
      <c r="O166" s="51"/>
      <c r="P166" s="51"/>
      <c r="Q166" s="51"/>
      <c r="R166" s="51"/>
      <c r="S166" s="51"/>
      <c r="T166" s="51"/>
      <c r="U166" s="51"/>
      <c r="V166" s="51"/>
      <c r="W166" s="51"/>
      <c r="AB166" s="86"/>
      <c r="AC166" s="86"/>
      <c r="AD166" s="86"/>
      <c r="AE166" s="86"/>
      <c r="AF166" s="86" t="s">
        <v>190</v>
      </c>
      <c r="AG166" s="86"/>
      <c r="AH166" s="87"/>
      <c r="AI166" s="87"/>
      <c r="AJ166" s="87"/>
      <c r="AK166" s="87"/>
      <c r="AL166" s="87"/>
      <c r="AM166" s="87"/>
      <c r="AN166" s="87"/>
      <c r="AO166" s="87"/>
      <c r="AP166" s="87"/>
      <c r="AQ166" s="87"/>
      <c r="AR166" s="87"/>
      <c r="AS166" s="87"/>
      <c r="AT166" s="87"/>
      <c r="AU166" s="87"/>
      <c r="AV166" s="87"/>
      <c r="AW166" s="87"/>
      <c r="AX166" s="87"/>
      <c r="AY166" s="88"/>
      <c r="AZ166" s="88"/>
      <c r="BA166" s="88"/>
      <c r="BB166" s="89"/>
    </row>
    <row r="167" spans="1:56" x14ac:dyDescent="0.3">
      <c r="A167" s="50"/>
      <c r="B167" s="50"/>
      <c r="C167" s="50"/>
      <c r="D167" s="50"/>
      <c r="E167" s="50"/>
      <c r="F167" s="50"/>
      <c r="G167" s="50" t="s">
        <v>191</v>
      </c>
      <c r="H167" s="51">
        <v>0</v>
      </c>
      <c r="I167" s="51">
        <v>0</v>
      </c>
      <c r="J167" s="51">
        <v>0</v>
      </c>
      <c r="K167" s="51">
        <v>0</v>
      </c>
      <c r="L167" s="51">
        <v>0</v>
      </c>
      <c r="M167" s="51">
        <v>0</v>
      </c>
      <c r="N167" s="51">
        <v>0</v>
      </c>
      <c r="O167" s="51">
        <v>0</v>
      </c>
      <c r="P167" s="51">
        <v>0</v>
      </c>
      <c r="Q167" s="51">
        <v>0</v>
      </c>
      <c r="R167" s="51">
        <v>0</v>
      </c>
      <c r="S167" s="51">
        <v>0</v>
      </c>
      <c r="T167" s="51"/>
      <c r="U167" s="51">
        <v>0</v>
      </c>
      <c r="V167" s="67">
        <v>60000</v>
      </c>
      <c r="W167" s="67">
        <v>60000</v>
      </c>
      <c r="AB167" s="86"/>
      <c r="AC167" s="86"/>
      <c r="AD167" s="86"/>
      <c r="AE167" s="86"/>
      <c r="AF167" s="86"/>
      <c r="AG167" s="86" t="s">
        <v>191</v>
      </c>
      <c r="AH167" s="87"/>
      <c r="AI167" s="87"/>
      <c r="AJ167" s="87"/>
      <c r="AK167" s="87"/>
      <c r="AL167" s="87">
        <v>0</v>
      </c>
      <c r="AM167" s="87">
        <v>0</v>
      </c>
      <c r="AN167" s="87">
        <v>0</v>
      </c>
      <c r="AO167" s="87">
        <v>0</v>
      </c>
      <c r="AP167" s="87">
        <v>0</v>
      </c>
      <c r="AQ167" s="87">
        <v>0</v>
      </c>
      <c r="AR167" s="87">
        <v>0</v>
      </c>
      <c r="AS167" s="87">
        <v>0</v>
      </c>
      <c r="AT167" s="87">
        <v>9137.67</v>
      </c>
      <c r="AU167" s="87">
        <v>0</v>
      </c>
      <c r="AV167" s="87">
        <v>0</v>
      </c>
      <c r="AW167" s="87">
        <v>0</v>
      </c>
      <c r="AX167" s="87"/>
      <c r="AY167" s="88">
        <f>ROUND(SUM(AH167:AX167),5)</f>
        <v>9137.67</v>
      </c>
      <c r="AZ167" s="88">
        <v>75000</v>
      </c>
      <c r="BA167" s="88">
        <v>60000</v>
      </c>
      <c r="BB167" s="89"/>
    </row>
    <row r="168" spans="1:56" x14ac:dyDescent="0.3">
      <c r="A168" s="50"/>
      <c r="B168" s="50"/>
      <c r="C168" s="50"/>
      <c r="D168" s="50"/>
      <c r="E168" s="50"/>
      <c r="F168" s="50"/>
      <c r="G168" s="50" t="s">
        <v>192</v>
      </c>
      <c r="H168" s="51">
        <v>0</v>
      </c>
      <c r="I168" s="51">
        <v>0</v>
      </c>
      <c r="J168" s="51">
        <v>0</v>
      </c>
      <c r="K168" s="51">
        <v>0</v>
      </c>
      <c r="L168" s="51">
        <v>0</v>
      </c>
      <c r="M168" s="51">
        <v>0</v>
      </c>
      <c r="N168" s="51">
        <v>0</v>
      </c>
      <c r="O168" s="51">
        <v>0</v>
      </c>
      <c r="P168" s="51">
        <v>0</v>
      </c>
      <c r="Q168" s="51">
        <v>0</v>
      </c>
      <c r="R168" s="51">
        <v>0</v>
      </c>
      <c r="S168" s="51">
        <v>0</v>
      </c>
      <c r="T168" s="51"/>
      <c r="U168" s="51">
        <v>0</v>
      </c>
      <c r="V168" s="67">
        <v>17000</v>
      </c>
      <c r="W168" s="67">
        <v>17000</v>
      </c>
      <c r="AB168" s="86"/>
      <c r="AC168" s="86"/>
      <c r="AD168" s="86"/>
      <c r="AE168" s="86"/>
      <c r="AF168" s="86"/>
      <c r="AG168" s="86" t="s">
        <v>192</v>
      </c>
      <c r="AH168" s="87"/>
      <c r="AI168" s="87"/>
      <c r="AJ168" s="87"/>
      <c r="AK168" s="87"/>
      <c r="AL168" s="87">
        <v>0</v>
      </c>
      <c r="AM168" s="87">
        <v>0</v>
      </c>
      <c r="AN168" s="87">
        <v>0</v>
      </c>
      <c r="AO168" s="87">
        <v>0</v>
      </c>
      <c r="AP168" s="87">
        <v>0</v>
      </c>
      <c r="AQ168" s="87">
        <v>0</v>
      </c>
      <c r="AR168" s="87">
        <v>0</v>
      </c>
      <c r="AS168" s="87">
        <v>2082.06</v>
      </c>
      <c r="AT168" s="87">
        <v>0</v>
      </c>
      <c r="AU168" s="87">
        <v>0</v>
      </c>
      <c r="AV168" s="87">
        <v>0</v>
      </c>
      <c r="AW168" s="87">
        <v>0</v>
      </c>
      <c r="AX168" s="87"/>
      <c r="AY168" s="88">
        <f>ROUND(SUM(AH168:AX168),5)</f>
        <v>2082.06</v>
      </c>
      <c r="AZ168" s="88">
        <v>17000</v>
      </c>
      <c r="BA168" s="88">
        <v>17000</v>
      </c>
      <c r="BB168" s="89"/>
    </row>
    <row r="169" spans="1:56" ht="22.2" thickBot="1" x14ac:dyDescent="0.35">
      <c r="A169" s="50"/>
      <c r="B169" s="50"/>
      <c r="C169" s="50"/>
      <c r="D169" s="50"/>
      <c r="E169" s="50"/>
      <c r="F169" s="50"/>
      <c r="G169" s="50" t="s">
        <v>193</v>
      </c>
      <c r="H169" s="52">
        <v>0</v>
      </c>
      <c r="I169" s="52">
        <v>1945</v>
      </c>
      <c r="J169" s="52">
        <v>0</v>
      </c>
      <c r="K169" s="52">
        <v>0</v>
      </c>
      <c r="L169" s="52">
        <v>0</v>
      </c>
      <c r="M169" s="52">
        <v>0</v>
      </c>
      <c r="N169" s="52">
        <v>0</v>
      </c>
      <c r="O169" s="52">
        <v>0</v>
      </c>
      <c r="P169" s="52">
        <v>0</v>
      </c>
      <c r="Q169" s="52">
        <v>0</v>
      </c>
      <c r="R169" s="52">
        <v>0</v>
      </c>
      <c r="S169" s="52">
        <v>0</v>
      </c>
      <c r="T169" s="52"/>
      <c r="U169" s="52">
        <f>ROUND(SUM(H169:T169),5)</f>
        <v>1945</v>
      </c>
      <c r="V169" s="52">
        <v>5000</v>
      </c>
      <c r="W169" s="52">
        <v>6000</v>
      </c>
      <c r="X169" s="68" t="s">
        <v>253</v>
      </c>
      <c r="AA169" s="56"/>
      <c r="AB169" s="86"/>
      <c r="AC169" s="86"/>
      <c r="AD169" s="86"/>
      <c r="AE169" s="86"/>
      <c r="AF169" s="86"/>
      <c r="AG169" s="86" t="s">
        <v>193</v>
      </c>
      <c r="AH169" s="90"/>
      <c r="AI169" s="90"/>
      <c r="AJ169" s="90"/>
      <c r="AK169" s="90"/>
      <c r="AL169" s="90">
        <v>0</v>
      </c>
      <c r="AM169" s="90">
        <v>1945</v>
      </c>
      <c r="AN169" s="90">
        <v>0</v>
      </c>
      <c r="AO169" s="90">
        <v>0</v>
      </c>
      <c r="AP169" s="90">
        <v>0</v>
      </c>
      <c r="AQ169" s="90">
        <v>0</v>
      </c>
      <c r="AR169" s="90">
        <v>0</v>
      </c>
      <c r="AS169" s="90">
        <v>0</v>
      </c>
      <c r="AT169" s="90">
        <v>0</v>
      </c>
      <c r="AU169" s="90">
        <v>0</v>
      </c>
      <c r="AV169" s="90">
        <v>0</v>
      </c>
      <c r="AW169" s="90">
        <v>0</v>
      </c>
      <c r="AX169" s="90"/>
      <c r="AY169" s="91">
        <f>ROUND(SUM(AH169:AX169),5)</f>
        <v>1945</v>
      </c>
      <c r="AZ169" s="91">
        <v>5000</v>
      </c>
      <c r="BA169" s="91">
        <v>5000</v>
      </c>
      <c r="BB169" s="92" t="s">
        <v>253</v>
      </c>
    </row>
    <row r="170" spans="1:56" ht="15" thickBot="1" x14ac:dyDescent="0.35">
      <c r="A170" s="50"/>
      <c r="B170" s="50"/>
      <c r="C170" s="50"/>
      <c r="D170" s="50"/>
      <c r="E170" s="50"/>
      <c r="F170" s="50" t="s">
        <v>194</v>
      </c>
      <c r="G170" s="50"/>
      <c r="H170" s="52">
        <f t="shared" ref="H170:S170" si="52">ROUND(SUM(H166:H169),5)</f>
        <v>0</v>
      </c>
      <c r="I170" s="52">
        <f t="shared" si="52"/>
        <v>1945</v>
      </c>
      <c r="J170" s="52">
        <f t="shared" si="52"/>
        <v>0</v>
      </c>
      <c r="K170" s="52">
        <f t="shared" si="52"/>
        <v>0</v>
      </c>
      <c r="L170" s="52">
        <f t="shared" si="52"/>
        <v>0</v>
      </c>
      <c r="M170" s="52">
        <f t="shared" si="52"/>
        <v>0</v>
      </c>
      <c r="N170" s="52">
        <f t="shared" si="52"/>
        <v>0</v>
      </c>
      <c r="O170" s="52">
        <f t="shared" si="52"/>
        <v>0</v>
      </c>
      <c r="P170" s="52">
        <f t="shared" si="52"/>
        <v>0</v>
      </c>
      <c r="Q170" s="52">
        <f t="shared" si="52"/>
        <v>0</v>
      </c>
      <c r="R170" s="52">
        <f t="shared" si="52"/>
        <v>0</v>
      </c>
      <c r="S170" s="52">
        <f t="shared" si="52"/>
        <v>0</v>
      </c>
      <c r="T170" s="52"/>
      <c r="U170" s="52">
        <f>ROUND(SUM(H170:T170),5)</f>
        <v>1945</v>
      </c>
      <c r="V170" s="52">
        <f>ROUND(SUM(V166:V169),5)</f>
        <v>82000</v>
      </c>
      <c r="W170" s="114">
        <f>ROUND(SUM(W166:W169),5)</f>
        <v>83000</v>
      </c>
      <c r="AB170" s="86"/>
      <c r="AC170" s="86"/>
      <c r="AD170" s="86"/>
      <c r="AE170" s="86" t="s">
        <v>195</v>
      </c>
      <c r="AF170" s="86" t="s">
        <v>194</v>
      </c>
      <c r="AG170" s="86"/>
      <c r="AH170" s="90"/>
      <c r="AI170" s="90"/>
      <c r="AJ170" s="90"/>
      <c r="AK170" s="90"/>
      <c r="AL170" s="90">
        <f t="shared" ref="AL170:AW170" si="53">ROUND(SUM(AL166:AL169),5)</f>
        <v>0</v>
      </c>
      <c r="AM170" s="90">
        <f t="shared" si="53"/>
        <v>1945</v>
      </c>
      <c r="AN170" s="90">
        <f t="shared" si="53"/>
        <v>0</v>
      </c>
      <c r="AO170" s="90">
        <f t="shared" si="53"/>
        <v>0</v>
      </c>
      <c r="AP170" s="90">
        <f t="shared" si="53"/>
        <v>0</v>
      </c>
      <c r="AQ170" s="90">
        <f t="shared" si="53"/>
        <v>0</v>
      </c>
      <c r="AR170" s="90">
        <f t="shared" si="53"/>
        <v>0</v>
      </c>
      <c r="AS170" s="90">
        <f t="shared" si="53"/>
        <v>2082.06</v>
      </c>
      <c r="AT170" s="90">
        <f t="shared" si="53"/>
        <v>9137.67</v>
      </c>
      <c r="AU170" s="90">
        <f t="shared" si="53"/>
        <v>0</v>
      </c>
      <c r="AV170" s="90">
        <f t="shared" si="53"/>
        <v>0</v>
      </c>
      <c r="AW170" s="90">
        <f t="shared" si="53"/>
        <v>0</v>
      </c>
      <c r="AX170" s="90"/>
      <c r="AY170" s="91">
        <f>ROUND(SUM(AH170:AX170),5)</f>
        <v>13164.73</v>
      </c>
      <c r="AZ170" s="91">
        <f>ROUND(SUM(AZ166:AZ169),5)</f>
        <v>97000</v>
      </c>
      <c r="BA170" s="91">
        <f>ROUND(SUM(BA166:BA169),5)</f>
        <v>82000</v>
      </c>
      <c r="BB170" s="92"/>
    </row>
    <row r="171" spans="1:56" ht="15" thickBot="1" x14ac:dyDescent="0.35">
      <c r="A171" s="50"/>
      <c r="B171" s="50"/>
      <c r="C171" s="50"/>
      <c r="D171" s="50"/>
      <c r="E171" s="50" t="s">
        <v>195</v>
      </c>
      <c r="F171" s="50"/>
      <c r="G171" s="50"/>
      <c r="H171" s="54">
        <f t="shared" ref="H171:S171" si="54">ROUND(H156+H162+H165+H170,5)</f>
        <v>6935</v>
      </c>
      <c r="I171" s="54">
        <f t="shared" si="54"/>
        <v>3302</v>
      </c>
      <c r="J171" s="54">
        <f t="shared" si="54"/>
        <v>0</v>
      </c>
      <c r="K171" s="54">
        <f t="shared" si="54"/>
        <v>0</v>
      </c>
      <c r="L171" s="54">
        <f t="shared" si="54"/>
        <v>0</v>
      </c>
      <c r="M171" s="54">
        <f t="shared" si="54"/>
        <v>0</v>
      </c>
      <c r="N171" s="54">
        <f t="shared" si="54"/>
        <v>0</v>
      </c>
      <c r="O171" s="54">
        <f t="shared" si="54"/>
        <v>1900</v>
      </c>
      <c r="P171" s="54">
        <f t="shared" si="54"/>
        <v>355787.84</v>
      </c>
      <c r="Q171" s="54">
        <f t="shared" si="54"/>
        <v>9486.81</v>
      </c>
      <c r="R171" s="54">
        <f t="shared" si="54"/>
        <v>0</v>
      </c>
      <c r="S171" s="54">
        <f t="shared" si="54"/>
        <v>0</v>
      </c>
      <c r="T171" s="54"/>
      <c r="U171" s="54">
        <f>ROUND(SUM(H171:T171),5)</f>
        <v>377411.65</v>
      </c>
      <c r="V171" s="54">
        <f>ROUND(V156+V162+V165+V170,5)</f>
        <v>351500</v>
      </c>
      <c r="W171" s="54">
        <f>ROUND(W156+W162+W165+W170,5)</f>
        <v>1802500</v>
      </c>
      <c r="AB171" s="86"/>
      <c r="AC171" s="86"/>
      <c r="AD171" s="86"/>
      <c r="AE171" s="86"/>
      <c r="AF171" s="86"/>
      <c r="AG171" s="86"/>
      <c r="AH171" s="87"/>
      <c r="AI171" s="87"/>
      <c r="AJ171" s="87"/>
      <c r="AK171" s="87"/>
      <c r="AL171" s="99">
        <f t="shared" ref="AL171:AW171" si="55">ROUND(AL156+AL162+AL165+AL170,5)</f>
        <v>0</v>
      </c>
      <c r="AM171" s="99">
        <f t="shared" si="55"/>
        <v>1945</v>
      </c>
      <c r="AN171" s="99">
        <f t="shared" si="55"/>
        <v>5379.38</v>
      </c>
      <c r="AO171" s="99">
        <f t="shared" si="55"/>
        <v>0</v>
      </c>
      <c r="AP171" s="99">
        <f t="shared" si="55"/>
        <v>0</v>
      </c>
      <c r="AQ171" s="99">
        <f t="shared" si="55"/>
        <v>0</v>
      </c>
      <c r="AR171" s="99">
        <f t="shared" si="55"/>
        <v>0</v>
      </c>
      <c r="AS171" s="99">
        <f t="shared" si="55"/>
        <v>2082.06</v>
      </c>
      <c r="AT171" s="99">
        <f t="shared" si="55"/>
        <v>9137.67</v>
      </c>
      <c r="AU171" s="99">
        <f t="shared" si="55"/>
        <v>0</v>
      </c>
      <c r="AV171" s="99">
        <f t="shared" si="55"/>
        <v>0</v>
      </c>
      <c r="AW171" s="99">
        <f t="shared" si="55"/>
        <v>0</v>
      </c>
      <c r="AX171" s="99"/>
      <c r="AY171" s="100">
        <f>ROUND(SUM(AH171:AX171),5)</f>
        <v>18544.11</v>
      </c>
      <c r="AZ171" s="100">
        <f>ROUND(AZ156+AZ162+AZ165+AZ170,5)</f>
        <v>366500</v>
      </c>
      <c r="BA171" s="100">
        <f>ROUND(BA156+BA162+BA165+BA170,5)</f>
        <v>351500</v>
      </c>
      <c r="BB171" s="101"/>
    </row>
    <row r="172" spans="1:56" s="56" customFormat="1" ht="22.2" thickBot="1" x14ac:dyDescent="0.35">
      <c r="A172" s="50"/>
      <c r="B172" s="50"/>
      <c r="C172" s="50"/>
      <c r="D172" s="50"/>
      <c r="E172" s="50" t="s">
        <v>203</v>
      </c>
      <c r="F172" s="50"/>
      <c r="G172" s="50"/>
      <c r="H172" s="54"/>
      <c r="I172" s="54"/>
      <c r="J172" s="54"/>
      <c r="K172" s="54"/>
      <c r="L172" s="54"/>
      <c r="M172" s="54"/>
      <c r="N172" s="54"/>
      <c r="O172" s="54"/>
      <c r="P172" s="54"/>
      <c r="Q172" s="54"/>
      <c r="R172" s="54"/>
      <c r="S172" s="54"/>
      <c r="T172" s="54"/>
      <c r="U172" s="54">
        <v>0</v>
      </c>
      <c r="V172" s="54">
        <v>226000</v>
      </c>
      <c r="W172" s="54">
        <f>W24+W20</f>
        <v>140100</v>
      </c>
      <c r="X172" s="68" t="s">
        <v>209</v>
      </c>
      <c r="Y172"/>
      <c r="Z172"/>
      <c r="AA172"/>
      <c r="AB172" s="86"/>
      <c r="AC172" s="86"/>
      <c r="AD172" s="86"/>
      <c r="AE172" s="86"/>
      <c r="AF172" s="86"/>
      <c r="AG172" s="86"/>
      <c r="AH172" s="87"/>
      <c r="AI172" s="87"/>
      <c r="AJ172" s="87"/>
      <c r="AK172" s="87"/>
      <c r="AL172" s="99"/>
      <c r="AM172" s="99"/>
      <c r="AN172" s="99"/>
      <c r="AO172" s="99"/>
      <c r="AP172" s="99"/>
      <c r="AQ172" s="99"/>
      <c r="AR172" s="99"/>
      <c r="AS172" s="99"/>
      <c r="AT172" s="99"/>
      <c r="AU172" s="99"/>
      <c r="AV172" s="99"/>
      <c r="AW172" s="99"/>
      <c r="AX172" s="99"/>
      <c r="AY172" s="86"/>
      <c r="AZ172" s="86"/>
      <c r="BA172" s="86"/>
      <c r="BB172" s="86"/>
      <c r="BC172"/>
      <c r="BD172"/>
    </row>
    <row r="173" spans="1:56" s="56" customFormat="1" ht="15" thickBot="1" x14ac:dyDescent="0.35">
      <c r="A173" s="50"/>
      <c r="B173" s="50"/>
      <c r="C173" s="50"/>
      <c r="D173" s="50"/>
      <c r="E173" s="50" t="s">
        <v>299</v>
      </c>
      <c r="F173" s="50"/>
      <c r="G173" s="50"/>
      <c r="H173" s="54"/>
      <c r="I173" s="54"/>
      <c r="J173" s="54"/>
      <c r="K173" s="54"/>
      <c r="L173" s="54"/>
      <c r="M173" s="54"/>
      <c r="N173" s="54"/>
      <c r="O173" s="54"/>
      <c r="P173" s="54"/>
      <c r="Q173" s="54"/>
      <c r="R173" s="54"/>
      <c r="S173" s="54"/>
      <c r="T173" s="54"/>
      <c r="U173" s="54">
        <v>0</v>
      </c>
      <c r="V173" s="54">
        <v>0</v>
      </c>
      <c r="W173" s="54">
        <v>-1802500</v>
      </c>
      <c r="X173" s="68" t="s">
        <v>300</v>
      </c>
      <c r="Y173"/>
      <c r="Z173"/>
      <c r="AA173"/>
      <c r="AB173" s="86"/>
      <c r="AC173" s="86"/>
      <c r="AD173" s="86"/>
      <c r="AE173" s="86"/>
      <c r="AF173" s="86"/>
      <c r="AG173" s="86"/>
      <c r="AH173" s="87"/>
      <c r="AI173" s="87"/>
      <c r="AJ173" s="87"/>
      <c r="AK173" s="87"/>
      <c r="AL173" s="99"/>
      <c r="AM173" s="99"/>
      <c r="AN173" s="99"/>
      <c r="AO173" s="99"/>
      <c r="AP173" s="99"/>
      <c r="AQ173" s="99"/>
      <c r="AR173" s="99"/>
      <c r="AS173" s="99"/>
      <c r="AT173" s="99"/>
      <c r="AU173" s="99"/>
      <c r="AV173" s="99"/>
      <c r="AW173" s="99"/>
      <c r="AX173" s="99"/>
      <c r="AY173" s="86"/>
      <c r="AZ173" s="86"/>
      <c r="BA173" s="86"/>
      <c r="BB173" s="86"/>
      <c r="BC173"/>
      <c r="BD173"/>
    </row>
    <row r="174" spans="1:56" ht="22.2" thickBot="1" x14ac:dyDescent="0.35">
      <c r="A174" s="50"/>
      <c r="B174" s="50"/>
      <c r="C174" s="50"/>
      <c r="D174" s="50"/>
      <c r="E174" s="50" t="s">
        <v>204</v>
      </c>
      <c r="F174" s="50"/>
      <c r="G174" s="50"/>
      <c r="H174" s="54"/>
      <c r="I174" s="54"/>
      <c r="J174" s="54"/>
      <c r="K174" s="54"/>
      <c r="L174" s="54"/>
      <c r="M174" s="54"/>
      <c r="N174" s="54"/>
      <c r="O174" s="54"/>
      <c r="P174" s="54"/>
      <c r="Q174" s="54"/>
      <c r="R174" s="54"/>
      <c r="S174" s="54"/>
      <c r="T174" s="54"/>
      <c r="U174" s="54">
        <v>0</v>
      </c>
      <c r="V174" s="54">
        <v>245659</v>
      </c>
      <c r="W174" s="116">
        <f>245659-1760259</f>
        <v>-1514600</v>
      </c>
      <c r="X174" s="68" t="s">
        <v>301</v>
      </c>
      <c r="Y174" s="56"/>
      <c r="Z174" s="56"/>
      <c r="AB174" s="86"/>
      <c r="AC174" s="86"/>
      <c r="AD174" s="86"/>
      <c r="AE174" s="86"/>
      <c r="AF174" s="86"/>
      <c r="AG174" s="86"/>
      <c r="AH174" s="87"/>
      <c r="AI174" s="87"/>
      <c r="AJ174" s="87"/>
      <c r="AK174" s="87"/>
      <c r="AL174" s="99"/>
      <c r="AM174" s="99"/>
      <c r="AN174" s="99"/>
      <c r="AO174" s="99"/>
      <c r="AP174" s="99"/>
      <c r="AQ174" s="99"/>
      <c r="AR174" s="99"/>
      <c r="AS174" s="99"/>
      <c r="AT174" s="99"/>
      <c r="AU174" s="99"/>
      <c r="AV174" s="99"/>
      <c r="AW174" s="99"/>
      <c r="AX174" s="99"/>
      <c r="AY174" s="86"/>
      <c r="AZ174" s="86"/>
      <c r="BA174" s="86"/>
      <c r="BB174" s="86"/>
    </row>
    <row r="175" spans="1:56" ht="15" thickBot="1" x14ac:dyDescent="0.35">
      <c r="A175" s="50"/>
      <c r="B175" s="50"/>
      <c r="C175" s="50"/>
      <c r="D175" s="50" t="s">
        <v>5</v>
      </c>
      <c r="E175" s="50"/>
      <c r="F175" s="50"/>
      <c r="G175" s="50"/>
      <c r="H175" s="53">
        <f t="shared" ref="H175:S175" si="56">ROUND(H40+H71+H149+H155+H171,5)</f>
        <v>40629.21</v>
      </c>
      <c r="I175" s="53">
        <f t="shared" si="56"/>
        <v>42211.89</v>
      </c>
      <c r="J175" s="53">
        <f t="shared" si="56"/>
        <v>35255.99</v>
      </c>
      <c r="K175" s="53">
        <f t="shared" si="56"/>
        <v>58915.23</v>
      </c>
      <c r="L175" s="53">
        <f t="shared" si="56"/>
        <v>40123.08</v>
      </c>
      <c r="M175" s="53">
        <f t="shared" si="56"/>
        <v>55599.54</v>
      </c>
      <c r="N175" s="53">
        <f t="shared" si="56"/>
        <v>57824.7</v>
      </c>
      <c r="O175" s="53">
        <f t="shared" si="56"/>
        <v>44586.239999999998</v>
      </c>
      <c r="P175" s="53">
        <f t="shared" si="56"/>
        <v>393348.6</v>
      </c>
      <c r="Q175" s="53">
        <f t="shared" si="56"/>
        <v>59693.37</v>
      </c>
      <c r="R175" s="53">
        <f t="shared" si="56"/>
        <v>35215.54</v>
      </c>
      <c r="S175" s="53">
        <f t="shared" si="56"/>
        <v>104494.25</v>
      </c>
      <c r="T175" s="53"/>
      <c r="U175" s="53">
        <f>ROUND(SUM(H175:T175),5)</f>
        <v>967897.64</v>
      </c>
      <c r="V175" s="53">
        <f>ROUND(V40+V71+V149+V155+V171,5)+V172+V174</f>
        <v>1552500</v>
      </c>
      <c r="W175" s="53">
        <f>ROUND(W40+W71+W149+W155+W171,5)+W172+W174</f>
        <v>1141100</v>
      </c>
      <c r="AB175" s="86"/>
      <c r="AC175" s="86"/>
      <c r="AD175" s="86"/>
      <c r="AE175" s="86"/>
      <c r="AF175" s="86"/>
      <c r="AG175" s="86"/>
      <c r="AH175" s="87"/>
      <c r="AI175" s="87"/>
      <c r="AJ175" s="87"/>
      <c r="AK175" s="87"/>
      <c r="AL175" s="99"/>
      <c r="AM175" s="99"/>
      <c r="AN175" s="99"/>
      <c r="AO175" s="99"/>
      <c r="AP175" s="99"/>
      <c r="AQ175" s="99"/>
      <c r="AR175" s="99"/>
      <c r="AS175" s="99"/>
      <c r="AT175" s="99"/>
      <c r="AU175" s="99"/>
      <c r="AV175" s="99"/>
      <c r="AW175" s="99"/>
      <c r="AX175" s="99"/>
      <c r="AY175" s="86"/>
      <c r="AZ175" s="86"/>
      <c r="BA175" s="86"/>
      <c r="BB175" s="86"/>
    </row>
    <row r="176" spans="1:56" x14ac:dyDescent="0.3">
      <c r="A176" s="50"/>
      <c r="B176" s="50" t="s">
        <v>6</v>
      </c>
      <c r="C176" s="50"/>
      <c r="D176" s="50"/>
      <c r="E176" s="50"/>
      <c r="F176" s="50"/>
      <c r="G176" s="50"/>
      <c r="H176" s="51">
        <f t="shared" ref="H176:S176" si="57">ROUND(H2+H39-H175,5)</f>
        <v>20645.93</v>
      </c>
      <c r="I176" s="51">
        <f t="shared" si="57"/>
        <v>-21134.85</v>
      </c>
      <c r="J176" s="51">
        <f t="shared" si="57"/>
        <v>51003.360000000001</v>
      </c>
      <c r="K176" s="51">
        <f t="shared" si="57"/>
        <v>26647.89</v>
      </c>
      <c r="L176" s="51">
        <f t="shared" si="57"/>
        <v>-13691.18</v>
      </c>
      <c r="M176" s="51">
        <f t="shared" si="57"/>
        <v>242069.91</v>
      </c>
      <c r="N176" s="51">
        <f t="shared" si="57"/>
        <v>160957.59</v>
      </c>
      <c r="O176" s="51">
        <f t="shared" si="57"/>
        <v>15114.64</v>
      </c>
      <c r="P176" s="51">
        <f t="shared" si="57"/>
        <v>-318923.76</v>
      </c>
      <c r="Q176" s="51">
        <f t="shared" si="57"/>
        <v>44822.84</v>
      </c>
      <c r="R176" s="51">
        <f t="shared" si="57"/>
        <v>201400.33</v>
      </c>
      <c r="S176" s="51">
        <f t="shared" si="57"/>
        <v>-2087.39</v>
      </c>
      <c r="T176" s="51"/>
      <c r="U176" s="51">
        <f>ROUND(SUM(H176:T176),5)</f>
        <v>406825.31</v>
      </c>
      <c r="V176" s="51">
        <f>ROUND(V2+V39-V175,5)</f>
        <v>-351500</v>
      </c>
      <c r="W176" s="51">
        <f>ROUND(W2+W39-W175,5)</f>
        <v>0</v>
      </c>
      <c r="AB176" s="86"/>
      <c r="AC176" s="86"/>
      <c r="AD176" s="86"/>
      <c r="AE176" s="86" t="s">
        <v>203</v>
      </c>
      <c r="AF176" s="86"/>
      <c r="AG176" s="86"/>
      <c r="AH176" s="87"/>
      <c r="AI176" s="87"/>
      <c r="AJ176" s="87"/>
      <c r="AK176" s="87"/>
      <c r="AL176" s="99"/>
      <c r="AM176" s="99"/>
      <c r="AN176" s="99"/>
      <c r="AO176" s="99"/>
      <c r="AP176" s="99"/>
      <c r="AQ176" s="99"/>
      <c r="AR176" s="99"/>
      <c r="AS176" s="99"/>
      <c r="AT176" s="99"/>
      <c r="AU176" s="99"/>
      <c r="AV176" s="99"/>
      <c r="AW176" s="99"/>
      <c r="AX176" s="99"/>
      <c r="AY176" s="86"/>
      <c r="AZ176" s="86"/>
      <c r="BA176" s="86"/>
      <c r="BB176" s="86"/>
    </row>
    <row r="177" spans="1:54" ht="17.399999999999999" customHeight="1" thickBot="1" x14ac:dyDescent="0.35">
      <c r="A177" s="50"/>
      <c r="B177" s="50" t="s">
        <v>7</v>
      </c>
      <c r="C177" s="50"/>
      <c r="D177" s="50"/>
      <c r="E177" s="50"/>
      <c r="F177" s="50"/>
      <c r="G177" s="50"/>
      <c r="H177" s="51"/>
      <c r="I177" s="51"/>
      <c r="J177" s="51"/>
      <c r="K177" s="51"/>
      <c r="L177" s="51"/>
      <c r="M177" s="51"/>
      <c r="N177" s="51"/>
      <c r="O177" s="51"/>
      <c r="P177" s="51"/>
      <c r="Q177" s="51"/>
      <c r="R177" s="51"/>
      <c r="S177" s="51"/>
      <c r="T177" s="51"/>
      <c r="U177" s="51"/>
      <c r="V177" s="51"/>
      <c r="W177" s="51"/>
      <c r="AB177" s="86"/>
      <c r="AC177" s="86"/>
      <c r="AD177" s="86"/>
      <c r="AE177" s="86" t="s">
        <v>204</v>
      </c>
      <c r="AF177" s="86"/>
      <c r="AG177" s="86"/>
      <c r="AH177" s="87"/>
      <c r="AI177" s="87"/>
      <c r="AJ177" s="87"/>
      <c r="AK177" s="87"/>
      <c r="AL177" s="102">
        <v>0</v>
      </c>
      <c r="AM177" s="102">
        <v>0</v>
      </c>
      <c r="AN177" s="102">
        <v>0</v>
      </c>
      <c r="AO177" s="102">
        <v>0</v>
      </c>
      <c r="AP177" s="102">
        <v>0</v>
      </c>
      <c r="AQ177" s="102">
        <v>0</v>
      </c>
      <c r="AR177" s="102">
        <v>0</v>
      </c>
      <c r="AS177" s="102">
        <v>0</v>
      </c>
      <c r="AT177" s="102">
        <v>0</v>
      </c>
      <c r="AU177" s="102">
        <v>0</v>
      </c>
      <c r="AV177" s="102">
        <v>0</v>
      </c>
      <c r="AW177" s="102">
        <v>0</v>
      </c>
      <c r="AX177" s="102"/>
      <c r="AY177" s="103">
        <v>0</v>
      </c>
      <c r="AZ177" s="103">
        <v>177000</v>
      </c>
      <c r="BA177" s="103">
        <f>BA17+BA18+BA24+BA20</f>
        <v>226000</v>
      </c>
      <c r="BB177" s="104" t="s">
        <v>209</v>
      </c>
    </row>
    <row r="178" spans="1:54" ht="25.8" customHeight="1" thickBot="1" x14ac:dyDescent="0.35">
      <c r="A178" s="50"/>
      <c r="B178" s="50"/>
      <c r="C178" s="50" t="s">
        <v>8</v>
      </c>
      <c r="D178" s="50"/>
      <c r="E178" s="50"/>
      <c r="F178" s="50"/>
      <c r="G178" s="50"/>
      <c r="H178" s="51"/>
      <c r="I178" s="51"/>
      <c r="J178" s="51"/>
      <c r="K178" s="51"/>
      <c r="L178" s="51"/>
      <c r="M178" s="51"/>
      <c r="N178" s="51"/>
      <c r="O178" s="51"/>
      <c r="P178" s="51"/>
      <c r="Q178" s="51"/>
      <c r="R178" s="51"/>
      <c r="S178" s="51"/>
      <c r="T178" s="51"/>
      <c r="U178" s="51"/>
      <c r="V178" s="51"/>
      <c r="W178" s="51"/>
      <c r="AB178" s="86"/>
      <c r="AC178" s="86"/>
      <c r="AD178" s="86" t="s">
        <v>5</v>
      </c>
      <c r="AE178" s="86"/>
      <c r="AF178" s="86"/>
      <c r="AG178" s="86"/>
      <c r="AH178" s="87"/>
      <c r="AI178" s="87"/>
      <c r="AJ178" s="87"/>
      <c r="AK178" s="87"/>
      <c r="AL178" s="87">
        <v>0</v>
      </c>
      <c r="AM178" s="87">
        <v>0</v>
      </c>
      <c r="AN178" s="87">
        <v>0</v>
      </c>
      <c r="AO178" s="87">
        <v>0</v>
      </c>
      <c r="AP178" s="87">
        <v>0</v>
      </c>
      <c r="AQ178" s="87">
        <v>0</v>
      </c>
      <c r="AR178" s="87">
        <v>0</v>
      </c>
      <c r="AS178" s="87">
        <v>0</v>
      </c>
      <c r="AT178" s="87">
        <v>0</v>
      </c>
      <c r="AU178" s="87">
        <v>0</v>
      </c>
      <c r="AV178" s="87">
        <v>0</v>
      </c>
      <c r="AW178" s="87">
        <v>0</v>
      </c>
      <c r="AX178" s="87"/>
      <c r="AY178" s="88">
        <v>0</v>
      </c>
      <c r="AZ178" s="88">
        <v>236020</v>
      </c>
      <c r="BA178" s="88">
        <v>245659</v>
      </c>
      <c r="BB178" s="89" t="s">
        <v>259</v>
      </c>
    </row>
    <row r="179" spans="1:54" ht="14.4" customHeight="1" thickBot="1" x14ac:dyDescent="0.35">
      <c r="A179" s="50"/>
      <c r="B179" s="50"/>
      <c r="C179" s="50"/>
      <c r="D179" s="50" t="s">
        <v>196</v>
      </c>
      <c r="E179" s="50"/>
      <c r="F179" s="50"/>
      <c r="G179" s="50"/>
      <c r="H179" s="51">
        <v>488.69</v>
      </c>
      <c r="I179" s="51">
        <v>0</v>
      </c>
      <c r="J179" s="51">
        <v>0</v>
      </c>
      <c r="K179" s="51">
        <v>0</v>
      </c>
      <c r="L179" s="51">
        <v>0</v>
      </c>
      <c r="M179" s="51">
        <v>0</v>
      </c>
      <c r="N179" s="51">
        <v>1206.2</v>
      </c>
      <c r="O179" s="51">
        <v>0</v>
      </c>
      <c r="P179" s="51">
        <v>0</v>
      </c>
      <c r="Q179" s="51">
        <v>0</v>
      </c>
      <c r="R179" s="51">
        <v>0</v>
      </c>
      <c r="S179" s="51">
        <v>0</v>
      </c>
      <c r="T179" s="51"/>
      <c r="U179" s="51">
        <f t="shared" ref="U179:U184" si="58">ROUND(SUM(H179:T179),5)</f>
        <v>1694.89</v>
      </c>
      <c r="V179" s="51">
        <v>0</v>
      </c>
      <c r="W179" s="51">
        <v>0</v>
      </c>
      <c r="X179" s="68" t="s">
        <v>206</v>
      </c>
      <c r="AB179" s="86" t="s">
        <v>6</v>
      </c>
      <c r="AC179" s="86"/>
      <c r="AD179" s="86"/>
      <c r="AE179" s="86"/>
      <c r="AF179" s="86"/>
      <c r="AG179" s="86"/>
      <c r="AH179" s="93"/>
      <c r="AI179" s="93"/>
      <c r="AJ179" s="93"/>
      <c r="AK179" s="93"/>
      <c r="AL179" s="93">
        <f t="shared" ref="AL179:BA179" si="59">ROUND(AL40+AL71+AL149+AL155+AL171,5)+AL177+AL178</f>
        <v>27999</v>
      </c>
      <c r="AM179" s="93">
        <f t="shared" si="59"/>
        <v>43641.53</v>
      </c>
      <c r="AN179" s="93">
        <f t="shared" si="59"/>
        <v>40907.26</v>
      </c>
      <c r="AO179" s="93">
        <f t="shared" si="59"/>
        <v>48192.54</v>
      </c>
      <c r="AP179" s="93">
        <f t="shared" si="59"/>
        <v>32728.26</v>
      </c>
      <c r="AQ179" s="93">
        <f t="shared" si="59"/>
        <v>36866.379999999997</v>
      </c>
      <c r="AR179" s="93">
        <f t="shared" si="59"/>
        <v>44453.31</v>
      </c>
      <c r="AS179" s="93">
        <f t="shared" si="59"/>
        <v>32567.72</v>
      </c>
      <c r="AT179" s="93">
        <f t="shared" si="59"/>
        <v>48013.1</v>
      </c>
      <c r="AU179" s="93">
        <f t="shared" si="59"/>
        <v>52967.27</v>
      </c>
      <c r="AV179" s="93">
        <f t="shared" si="59"/>
        <v>50116.65</v>
      </c>
      <c r="AW179" s="93">
        <f t="shared" si="59"/>
        <v>98258.22</v>
      </c>
      <c r="AX179" s="93">
        <f t="shared" si="59"/>
        <v>0</v>
      </c>
      <c r="AY179" s="94">
        <f t="shared" si="59"/>
        <v>556711.24</v>
      </c>
      <c r="AZ179" s="94">
        <f t="shared" si="59"/>
        <v>1445300</v>
      </c>
      <c r="BA179" s="94">
        <f t="shared" si="59"/>
        <v>1552500</v>
      </c>
      <c r="BB179" s="95"/>
    </row>
    <row r="180" spans="1:54" ht="15.6" customHeight="1" x14ac:dyDescent="0.3">
      <c r="A180" s="50"/>
      <c r="B180" s="50"/>
      <c r="C180" s="50"/>
      <c r="D180" s="50" t="s">
        <v>197</v>
      </c>
      <c r="E180" s="50"/>
      <c r="F180" s="50"/>
      <c r="G180" s="50"/>
      <c r="H180" s="51">
        <v>3838.17</v>
      </c>
      <c r="I180" s="51">
        <v>-7360.71</v>
      </c>
      <c r="J180" s="51">
        <v>-12262.78</v>
      </c>
      <c r="K180" s="51">
        <v>-15312.76</v>
      </c>
      <c r="L180" s="51">
        <v>-7089.43</v>
      </c>
      <c r="M180" s="51">
        <v>-12210.57</v>
      </c>
      <c r="N180" s="51">
        <v>-30666.5</v>
      </c>
      <c r="O180" s="51">
        <v>-22606.21</v>
      </c>
      <c r="P180" s="51">
        <v>-54477.599999999999</v>
      </c>
      <c r="Q180" s="51">
        <v>-43909.78</v>
      </c>
      <c r="R180" s="51">
        <v>3613.14</v>
      </c>
      <c r="S180" s="51">
        <v>-10762.94</v>
      </c>
      <c r="T180" s="51"/>
      <c r="U180" s="51">
        <f t="shared" si="58"/>
        <v>-209207.97</v>
      </c>
      <c r="V180" s="51">
        <v>0</v>
      </c>
      <c r="W180" s="51">
        <v>0</v>
      </c>
      <c r="X180" s="68" t="s">
        <v>206</v>
      </c>
      <c r="AB180" s="86" t="s">
        <v>7</v>
      </c>
      <c r="AC180" s="86"/>
      <c r="AD180" s="86"/>
      <c r="AE180" s="86"/>
      <c r="AF180" s="86"/>
      <c r="AG180" s="86"/>
      <c r="AH180" s="87"/>
      <c r="AI180" s="87"/>
      <c r="AJ180" s="87"/>
      <c r="AK180" s="87"/>
      <c r="AL180" s="87">
        <f t="shared" ref="AL180:AW180" si="60">ROUND(AL2+AL39-AL179,5)</f>
        <v>-8841.0400000000009</v>
      </c>
      <c r="AM180" s="87">
        <f t="shared" si="60"/>
        <v>-10879.27</v>
      </c>
      <c r="AN180" s="87">
        <f t="shared" si="60"/>
        <v>-2325.44</v>
      </c>
      <c r="AO180" s="87">
        <f t="shared" si="60"/>
        <v>43497.59</v>
      </c>
      <c r="AP180" s="87">
        <f t="shared" si="60"/>
        <v>-13444.18</v>
      </c>
      <c r="AQ180" s="87">
        <f t="shared" si="60"/>
        <v>210923.04</v>
      </c>
      <c r="AR180" s="87">
        <f t="shared" si="60"/>
        <v>211891.47</v>
      </c>
      <c r="AS180" s="87">
        <f t="shared" si="60"/>
        <v>26678.65</v>
      </c>
      <c r="AT180" s="87">
        <f t="shared" si="60"/>
        <v>17447.71</v>
      </c>
      <c r="AU180" s="87">
        <f t="shared" si="60"/>
        <v>44297.38</v>
      </c>
      <c r="AV180" s="87">
        <f t="shared" si="60"/>
        <v>172821.62</v>
      </c>
      <c r="AW180" s="87">
        <f t="shared" si="60"/>
        <v>16430.13</v>
      </c>
      <c r="AX180" s="87"/>
      <c r="AY180" s="88">
        <f>ROUND(SUM(AH180:AX180),5)</f>
        <v>708497.66</v>
      </c>
      <c r="AZ180" s="88">
        <f>ROUND(AZ2+AZ39-AZ179,5)</f>
        <v>-366500</v>
      </c>
      <c r="BA180" s="88">
        <f>ROUND(BA2+BA39-BA179,5)</f>
        <v>-351500</v>
      </c>
      <c r="BB180" s="89"/>
    </row>
    <row r="181" spans="1:54" ht="13.2" customHeight="1" thickBot="1" x14ac:dyDescent="0.35">
      <c r="A181" s="50"/>
      <c r="B181" s="50"/>
      <c r="C181" s="50"/>
      <c r="D181" s="50" t="s">
        <v>280</v>
      </c>
      <c r="E181" s="50"/>
      <c r="F181" s="50"/>
      <c r="G181" s="50"/>
      <c r="H181" s="51">
        <v>0</v>
      </c>
      <c r="I181" s="51">
        <v>0</v>
      </c>
      <c r="J181" s="51">
        <v>0</v>
      </c>
      <c r="K181" s="51">
        <v>0</v>
      </c>
      <c r="L181" s="51">
        <v>0</v>
      </c>
      <c r="M181" s="51">
        <v>0</v>
      </c>
      <c r="N181" s="51">
        <v>0</v>
      </c>
      <c r="O181" s="51">
        <v>0</v>
      </c>
      <c r="P181" s="51">
        <v>0</v>
      </c>
      <c r="Q181" s="51">
        <v>0</v>
      </c>
      <c r="R181" s="51">
        <v>5230</v>
      </c>
      <c r="S181" s="51">
        <v>0</v>
      </c>
      <c r="T181" s="51"/>
      <c r="U181" s="51">
        <f t="shared" si="58"/>
        <v>5230</v>
      </c>
      <c r="V181" s="51">
        <v>0</v>
      </c>
      <c r="W181" s="51">
        <v>0</v>
      </c>
      <c r="X181" s="68" t="s">
        <v>206</v>
      </c>
      <c r="AB181" s="86"/>
      <c r="AC181" s="86" t="s">
        <v>8</v>
      </c>
      <c r="AD181" s="86"/>
      <c r="AE181" s="86"/>
      <c r="AF181" s="86"/>
      <c r="AG181" s="86"/>
      <c r="AH181" s="87"/>
      <c r="AI181" s="87"/>
      <c r="AJ181" s="87"/>
      <c r="AK181" s="87"/>
      <c r="AL181" s="87"/>
      <c r="AM181" s="87"/>
      <c r="AN181" s="87"/>
      <c r="AO181" s="87"/>
      <c r="AP181" s="87"/>
      <c r="AQ181" s="87"/>
      <c r="AR181" s="87"/>
      <c r="AS181" s="87"/>
      <c r="AT181" s="87"/>
      <c r="AU181" s="87"/>
      <c r="AV181" s="87"/>
      <c r="AW181" s="87"/>
      <c r="AX181" s="87"/>
      <c r="AY181" s="88"/>
      <c r="AZ181" s="88"/>
      <c r="BA181" s="88"/>
      <c r="BB181" s="89"/>
    </row>
    <row r="182" spans="1:54" ht="15" thickBot="1" x14ac:dyDescent="0.35">
      <c r="A182" s="50"/>
      <c r="B182" s="50"/>
      <c r="C182" s="50" t="s">
        <v>9</v>
      </c>
      <c r="D182" s="50"/>
      <c r="E182" s="50"/>
      <c r="F182" s="50"/>
      <c r="G182" s="50"/>
      <c r="H182" s="54">
        <f t="shared" ref="H182:P182" si="61">ROUND(SUM(H178:H181),5)</f>
        <v>4326.8599999999997</v>
      </c>
      <c r="I182" s="54">
        <f t="shared" si="61"/>
        <v>-7360.71</v>
      </c>
      <c r="J182" s="54">
        <f t="shared" si="61"/>
        <v>-12262.78</v>
      </c>
      <c r="K182" s="54">
        <f t="shared" si="61"/>
        <v>-15312.76</v>
      </c>
      <c r="L182" s="54">
        <f t="shared" si="61"/>
        <v>-7089.43</v>
      </c>
      <c r="M182" s="54">
        <f t="shared" si="61"/>
        <v>-12210.57</v>
      </c>
      <c r="N182" s="54">
        <f t="shared" si="61"/>
        <v>-29460.3</v>
      </c>
      <c r="O182" s="54">
        <f t="shared" si="61"/>
        <v>-22606.21</v>
      </c>
      <c r="P182" s="54">
        <f t="shared" si="61"/>
        <v>-54477.599999999999</v>
      </c>
      <c r="Q182" s="54">
        <f>ROUND(SUM(Q178:Q181),5)</f>
        <v>-43909.78</v>
      </c>
      <c r="R182" s="54">
        <f>ROUND(SUM(R178:R181),5)</f>
        <v>8843.14</v>
      </c>
      <c r="S182" s="54">
        <f>ROUND(SUM(S178:S181),5)</f>
        <v>-10762.94</v>
      </c>
      <c r="T182" s="54"/>
      <c r="U182" s="54">
        <f t="shared" si="58"/>
        <v>-202283.08</v>
      </c>
      <c r="V182" s="54">
        <f>ROUND(SUM(V178:V181),5)</f>
        <v>0</v>
      </c>
      <c r="W182" s="54">
        <f>ROUND(SUM(W178:W181),5)</f>
        <v>0</v>
      </c>
      <c r="AB182" s="86"/>
      <c r="AC182" s="86"/>
      <c r="AD182" s="86" t="s">
        <v>196</v>
      </c>
      <c r="AE182" s="86"/>
      <c r="AF182" s="86"/>
      <c r="AG182" s="86"/>
      <c r="AH182" s="87"/>
      <c r="AI182" s="87"/>
      <c r="AJ182" s="87"/>
      <c r="AK182" s="87"/>
      <c r="AL182" s="87"/>
      <c r="AM182" s="87"/>
      <c r="AN182" s="87"/>
      <c r="AO182" s="87"/>
      <c r="AP182" s="87"/>
      <c r="AQ182" s="87"/>
      <c r="AR182" s="87"/>
      <c r="AS182" s="87"/>
      <c r="AT182" s="87"/>
      <c r="AU182" s="87"/>
      <c r="AV182" s="87"/>
      <c r="AW182" s="87"/>
      <c r="AX182" s="87"/>
      <c r="AY182" s="88"/>
      <c r="AZ182" s="88"/>
      <c r="BA182" s="88"/>
      <c r="BB182" s="89"/>
    </row>
    <row r="183" spans="1:54" ht="22.2" thickBot="1" x14ac:dyDescent="0.35">
      <c r="A183" s="50"/>
      <c r="B183" s="50" t="s">
        <v>10</v>
      </c>
      <c r="C183" s="50"/>
      <c r="D183" s="50"/>
      <c r="E183" s="50"/>
      <c r="F183" s="50"/>
      <c r="G183" s="50"/>
      <c r="H183" s="54">
        <f t="shared" ref="H183:P183" si="62">ROUND(H177+H182,5)</f>
        <v>4326.8599999999997</v>
      </c>
      <c r="I183" s="54">
        <f t="shared" si="62"/>
        <v>-7360.71</v>
      </c>
      <c r="J183" s="54">
        <f t="shared" si="62"/>
        <v>-12262.78</v>
      </c>
      <c r="K183" s="54">
        <f t="shared" si="62"/>
        <v>-15312.76</v>
      </c>
      <c r="L183" s="54">
        <f t="shared" si="62"/>
        <v>-7089.43</v>
      </c>
      <c r="M183" s="54">
        <f t="shared" si="62"/>
        <v>-12210.57</v>
      </c>
      <c r="N183" s="54">
        <f t="shared" si="62"/>
        <v>-29460.3</v>
      </c>
      <c r="O183" s="54">
        <f t="shared" si="62"/>
        <v>-22606.21</v>
      </c>
      <c r="P183" s="54">
        <f t="shared" si="62"/>
        <v>-54477.599999999999</v>
      </c>
      <c r="Q183" s="54">
        <f>ROUND(Q177+Q182,5)</f>
        <v>-43909.78</v>
      </c>
      <c r="R183" s="54">
        <f>ROUND(R177+R182,5)</f>
        <v>8843.14</v>
      </c>
      <c r="S183" s="54">
        <f>ROUND(S177+S182,5)</f>
        <v>-10762.94</v>
      </c>
      <c r="T183" s="54"/>
      <c r="U183" s="54">
        <f t="shared" si="58"/>
        <v>-202283.08</v>
      </c>
      <c r="V183" s="54">
        <f>ROUND(V177+V182,5)</f>
        <v>0</v>
      </c>
      <c r="W183" s="54">
        <f>ROUND(W177+W182,5)</f>
        <v>0</v>
      </c>
      <c r="AB183" s="86"/>
      <c r="AC183" s="86"/>
      <c r="AD183" s="86" t="s">
        <v>197</v>
      </c>
      <c r="AE183" s="86"/>
      <c r="AF183" s="86"/>
      <c r="AG183" s="86"/>
      <c r="AH183" s="87"/>
      <c r="AI183" s="87"/>
      <c r="AJ183" s="87"/>
      <c r="AK183" s="87"/>
      <c r="AL183" s="87">
        <v>0</v>
      </c>
      <c r="AM183" s="87">
        <v>0</v>
      </c>
      <c r="AN183" s="87">
        <v>0</v>
      </c>
      <c r="AO183" s="87">
        <v>0</v>
      </c>
      <c r="AP183" s="87">
        <v>0</v>
      </c>
      <c r="AQ183" s="87">
        <v>0</v>
      </c>
      <c r="AR183" s="87">
        <v>2768.64</v>
      </c>
      <c r="AS183" s="87">
        <v>0</v>
      </c>
      <c r="AT183" s="87">
        <v>0</v>
      </c>
      <c r="AU183" s="87">
        <v>0</v>
      </c>
      <c r="AV183" s="87">
        <v>0</v>
      </c>
      <c r="AW183" s="87">
        <v>0</v>
      </c>
      <c r="AX183" s="87"/>
      <c r="AY183" s="88">
        <f>ROUND(SUM(AH183:AX183),5)</f>
        <v>2768.64</v>
      </c>
      <c r="AZ183" s="88">
        <v>0</v>
      </c>
      <c r="BA183" s="88">
        <v>0</v>
      </c>
      <c r="BB183" s="89" t="s">
        <v>206</v>
      </c>
    </row>
    <row r="184" spans="1:54" ht="22.2" thickBot="1" x14ac:dyDescent="0.35">
      <c r="A184" s="50" t="s">
        <v>11</v>
      </c>
      <c r="B184" s="50"/>
      <c r="C184" s="50"/>
      <c r="D184" s="50"/>
      <c r="E184" s="50"/>
      <c r="F184" s="50"/>
      <c r="G184" s="50"/>
      <c r="H184" s="55">
        <f t="shared" ref="H184:P184" si="63">ROUND(H176+H183,5)</f>
        <v>24972.79</v>
      </c>
      <c r="I184" s="55">
        <f t="shared" si="63"/>
        <v>-28495.56</v>
      </c>
      <c r="J184" s="55">
        <f t="shared" si="63"/>
        <v>38740.58</v>
      </c>
      <c r="K184" s="55">
        <f t="shared" si="63"/>
        <v>11335.13</v>
      </c>
      <c r="L184" s="55">
        <f t="shared" si="63"/>
        <v>-20780.61</v>
      </c>
      <c r="M184" s="55">
        <f t="shared" si="63"/>
        <v>229859.34</v>
      </c>
      <c r="N184" s="55">
        <f t="shared" si="63"/>
        <v>131497.29</v>
      </c>
      <c r="O184" s="55">
        <f t="shared" si="63"/>
        <v>-7491.57</v>
      </c>
      <c r="P184" s="55">
        <f t="shared" si="63"/>
        <v>-373401.36</v>
      </c>
      <c r="Q184" s="55">
        <f>ROUND(Q176+Q183,5)</f>
        <v>913.06</v>
      </c>
      <c r="R184" s="55">
        <f>ROUND(R176+R183,5)</f>
        <v>210243.47</v>
      </c>
      <c r="S184" s="55">
        <f>ROUND(S176+S183,5)</f>
        <v>-12850.33</v>
      </c>
      <c r="T184" s="55"/>
      <c r="U184" s="55">
        <f t="shared" si="58"/>
        <v>204542.23</v>
      </c>
      <c r="V184" s="55">
        <f>ROUND(V176+V183,5)</f>
        <v>-351500</v>
      </c>
      <c r="W184" s="55">
        <f>ROUND(W176+W183,5)</f>
        <v>0</v>
      </c>
      <c r="AB184" s="86"/>
      <c r="AC184" s="86" t="s">
        <v>9</v>
      </c>
      <c r="AD184" s="86"/>
      <c r="AE184" s="86"/>
      <c r="AF184" s="86"/>
      <c r="AG184" s="86"/>
      <c r="AH184" s="87"/>
      <c r="AI184" s="87"/>
      <c r="AJ184" s="87"/>
      <c r="AK184" s="87"/>
      <c r="AL184" s="87">
        <v>3379.65</v>
      </c>
      <c r="AM184" s="87">
        <v>-3012.35</v>
      </c>
      <c r="AN184" s="87">
        <v>-3352.29</v>
      </c>
      <c r="AO184" s="87">
        <v>-8759.74</v>
      </c>
      <c r="AP184" s="87">
        <v>2275.2600000000002</v>
      </c>
      <c r="AQ184" s="87">
        <v>-9141.42</v>
      </c>
      <c r="AR184" s="87">
        <v>-5290.7</v>
      </c>
      <c r="AS184" s="87">
        <v>-9875.18</v>
      </c>
      <c r="AT184" s="87">
        <v>-10281.08</v>
      </c>
      <c r="AU184" s="87">
        <v>-4192.53</v>
      </c>
      <c r="AV184" s="87">
        <v>11137.13</v>
      </c>
      <c r="AW184" s="87">
        <v>-416.52</v>
      </c>
      <c r="AX184" s="87"/>
      <c r="AY184" s="88">
        <f>ROUND(SUM(AH184:AX184),5)</f>
        <v>-37529.769999999997</v>
      </c>
      <c r="AZ184" s="88">
        <v>0</v>
      </c>
      <c r="BA184" s="88">
        <v>0</v>
      </c>
      <c r="BB184" s="89" t="s">
        <v>206</v>
      </c>
    </row>
    <row r="185" spans="1:54" ht="15.6" thickTop="1" thickBot="1" x14ac:dyDescent="0.35">
      <c r="AB185" s="86" t="s">
        <v>10</v>
      </c>
      <c r="AC185" s="86"/>
      <c r="AD185" s="86"/>
      <c r="AE185" s="86"/>
      <c r="AF185" s="86"/>
      <c r="AG185" s="86"/>
      <c r="AH185" s="96"/>
      <c r="AI185" s="96"/>
      <c r="AJ185" s="96"/>
      <c r="AK185" s="96"/>
      <c r="AL185" s="96">
        <f t="shared" ref="AL185:AW185" si="64">ROUND(SUM(AL182:AL184),5)</f>
        <v>3379.65</v>
      </c>
      <c r="AM185" s="96">
        <f t="shared" si="64"/>
        <v>-3012.35</v>
      </c>
      <c r="AN185" s="96">
        <f t="shared" si="64"/>
        <v>-3352.29</v>
      </c>
      <c r="AO185" s="96">
        <f t="shared" si="64"/>
        <v>-8759.74</v>
      </c>
      <c r="AP185" s="96">
        <f t="shared" si="64"/>
        <v>2275.2600000000002</v>
      </c>
      <c r="AQ185" s="96">
        <f t="shared" si="64"/>
        <v>-9141.42</v>
      </c>
      <c r="AR185" s="96">
        <f t="shared" si="64"/>
        <v>-2522.06</v>
      </c>
      <c r="AS185" s="96">
        <f t="shared" si="64"/>
        <v>-9875.18</v>
      </c>
      <c r="AT185" s="96">
        <f t="shared" si="64"/>
        <v>-10281.08</v>
      </c>
      <c r="AU185" s="96">
        <f t="shared" si="64"/>
        <v>-4192.53</v>
      </c>
      <c r="AV185" s="96">
        <f t="shared" si="64"/>
        <v>11137.13</v>
      </c>
      <c r="AW185" s="96">
        <f t="shared" si="64"/>
        <v>-416.52</v>
      </c>
      <c r="AX185" s="96"/>
      <c r="AY185" s="97">
        <f>ROUND(SUM(AH185:AX185),5)</f>
        <v>-34761.129999999997</v>
      </c>
      <c r="AZ185" s="97">
        <f>ROUND(SUM(AZ182:AZ184),5)</f>
        <v>0</v>
      </c>
      <c r="BA185" s="97">
        <f>ROUND(SUM(BA182:BA184),5)</f>
        <v>0</v>
      </c>
      <c r="BB185" s="98"/>
    </row>
    <row r="186" spans="1:54" ht="15" thickBot="1" x14ac:dyDescent="0.35">
      <c r="AB186" s="86"/>
      <c r="AC186" s="86"/>
      <c r="AD186" s="86"/>
      <c r="AE186" s="86"/>
      <c r="AF186" s="86"/>
      <c r="AG186" s="86"/>
      <c r="AH186" s="96"/>
      <c r="AI186" s="96"/>
      <c r="AJ186" s="96"/>
      <c r="AK186" s="96"/>
      <c r="AL186" s="96">
        <f t="shared" ref="AL186:AW186" si="65">ROUND(AL181+AL185,5)</f>
        <v>3379.65</v>
      </c>
      <c r="AM186" s="96">
        <f t="shared" si="65"/>
        <v>-3012.35</v>
      </c>
      <c r="AN186" s="96">
        <f t="shared" si="65"/>
        <v>-3352.29</v>
      </c>
      <c r="AO186" s="96">
        <f t="shared" si="65"/>
        <v>-8759.74</v>
      </c>
      <c r="AP186" s="96">
        <f t="shared" si="65"/>
        <v>2275.2600000000002</v>
      </c>
      <c r="AQ186" s="96">
        <f t="shared" si="65"/>
        <v>-9141.42</v>
      </c>
      <c r="AR186" s="96">
        <f t="shared" si="65"/>
        <v>-2522.06</v>
      </c>
      <c r="AS186" s="96">
        <f t="shared" si="65"/>
        <v>-9875.18</v>
      </c>
      <c r="AT186" s="96">
        <f t="shared" si="65"/>
        <v>-10281.08</v>
      </c>
      <c r="AU186" s="96">
        <f t="shared" si="65"/>
        <v>-4192.53</v>
      </c>
      <c r="AV186" s="96">
        <f t="shared" si="65"/>
        <v>11137.13</v>
      </c>
      <c r="AW186" s="96">
        <f t="shared" si="65"/>
        <v>-416.52</v>
      </c>
      <c r="AX186" s="96"/>
      <c r="AY186" s="97">
        <f>ROUND(SUM(AH186:AX186),5)</f>
        <v>-34761.129999999997</v>
      </c>
      <c r="AZ186" s="97">
        <f>ROUND(AZ181+AZ185,5)</f>
        <v>0</v>
      </c>
      <c r="BA186" s="97">
        <f>ROUND(BA181+BA185,5)</f>
        <v>0</v>
      </c>
      <c r="BB186" s="98"/>
    </row>
    <row r="187" spans="1:54" ht="15" thickBot="1" x14ac:dyDescent="0.35">
      <c r="AF187" s="86"/>
      <c r="AG187" s="86"/>
      <c r="AH187" s="106"/>
      <c r="AI187" s="106"/>
      <c r="AJ187" s="106"/>
      <c r="AK187" s="106"/>
      <c r="AL187" s="106">
        <f t="shared" ref="AL187:AW187" si="66">ROUND(AL180+AL186,5)</f>
        <v>-5461.39</v>
      </c>
      <c r="AM187" s="106">
        <f t="shared" si="66"/>
        <v>-13891.62</v>
      </c>
      <c r="AN187" s="106">
        <f t="shared" si="66"/>
        <v>-5677.73</v>
      </c>
      <c r="AO187" s="106">
        <f t="shared" si="66"/>
        <v>34737.85</v>
      </c>
      <c r="AP187" s="106">
        <f t="shared" si="66"/>
        <v>-11168.92</v>
      </c>
      <c r="AQ187" s="106">
        <f t="shared" si="66"/>
        <v>201781.62</v>
      </c>
      <c r="AR187" s="106">
        <f t="shared" si="66"/>
        <v>209369.41</v>
      </c>
      <c r="AS187" s="106">
        <f t="shared" si="66"/>
        <v>16803.47</v>
      </c>
      <c r="AT187" s="106">
        <f t="shared" si="66"/>
        <v>7166.63</v>
      </c>
      <c r="AU187" s="106">
        <f t="shared" si="66"/>
        <v>40104.85</v>
      </c>
      <c r="AV187" s="106">
        <f t="shared" si="66"/>
        <v>183958.75</v>
      </c>
      <c r="AW187" s="106">
        <f t="shared" si="66"/>
        <v>16013.61</v>
      </c>
      <c r="AX187" s="106"/>
      <c r="AY187" s="107">
        <f>ROUND(SUM(AH187:AX187),5)</f>
        <v>673736.53</v>
      </c>
      <c r="AZ187" s="107">
        <f>ROUND(AZ180+AZ186,5)</f>
        <v>-366500</v>
      </c>
      <c r="BA187" s="107">
        <f>ROUND(BA180+BA186,5)</f>
        <v>-351500</v>
      </c>
      <c r="BB187" s="108"/>
    </row>
    <row r="188" spans="1:54" ht="15" thickTop="1" x14ac:dyDescent="0.3"/>
  </sheetData>
  <printOptions horizontalCentered="1"/>
  <pageMargins left="0.7" right="0.7" top="0.75" bottom="0.75" header="0.1" footer="0.3"/>
  <pageSetup orientation="portrait" horizontalDpi="0" verticalDpi="0" r:id="rId1"/>
  <headerFooter>
    <oddHeader>&amp;C&amp;"Arial,Bold"&amp;12 Temecula Public Cemetery District
&amp;14First&amp;12 &amp;14Draft Budget
22-23</oddHeader>
    <oddFooter>&amp;R&amp;"Arial,Bold"&amp;8 Page &amp;P of &amp;N</oddFooter>
  </headerFooter>
  <drawing r:id="rId2"/>
  <legacyDrawing r:id="rId3"/>
  <controls>
    <mc:AlternateContent xmlns:mc="http://schemas.openxmlformats.org/markup-compatibility/2006">
      <mc:Choice Requires="x14">
        <control shapeId="113665" r:id="rId4" name="FILTER">
          <controlPr defaultSize="0" autoLine="0" r:id="rId5">
            <anchor moveWithCells="1">
              <from>
                <xdr:col>0</xdr:col>
                <xdr:colOff>0</xdr:colOff>
                <xdr:row>0</xdr:row>
                <xdr:rowOff>0</xdr:rowOff>
              </from>
              <to>
                <xdr:col>4</xdr:col>
                <xdr:colOff>68580</xdr:colOff>
                <xdr:row>0</xdr:row>
                <xdr:rowOff>236220</xdr:rowOff>
              </to>
            </anchor>
          </controlPr>
        </control>
      </mc:Choice>
      <mc:Fallback>
        <control shapeId="113665" r:id="rId4" name="FILTER"/>
      </mc:Fallback>
    </mc:AlternateContent>
    <mc:AlternateContent xmlns:mc="http://schemas.openxmlformats.org/markup-compatibility/2006">
      <mc:Choice Requires="x14">
        <control shapeId="113666" r:id="rId6" name="HEADER">
          <controlPr defaultSize="0" autoLine="0" r:id="rId7">
            <anchor moveWithCells="1">
              <from>
                <xdr:col>0</xdr:col>
                <xdr:colOff>0</xdr:colOff>
                <xdr:row>0</xdr:row>
                <xdr:rowOff>0</xdr:rowOff>
              </from>
              <to>
                <xdr:col>4</xdr:col>
                <xdr:colOff>68580</xdr:colOff>
                <xdr:row>0</xdr:row>
                <xdr:rowOff>236220</xdr:rowOff>
              </to>
            </anchor>
          </controlPr>
        </control>
      </mc:Choice>
      <mc:Fallback>
        <control shapeId="113666" r:id="rId6" name="HEADER"/>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3087F-04FB-455B-B940-39112C7F2F5D}">
  <sheetPr codeName="Sheet2"/>
  <dimension ref="A1:BD160"/>
  <sheetViews>
    <sheetView workbookViewId="0">
      <pane xSplit="7" ySplit="1" topLeftCell="H142" activePane="bottomRight" state="frozenSplit"/>
      <selection pane="topRight" activeCell="H1" sqref="H1"/>
      <selection pane="bottomLeft" activeCell="A2" sqref="A2"/>
      <selection pane="bottomRight" activeCell="W145" sqref="W145"/>
    </sheetView>
  </sheetViews>
  <sheetFormatPr defaultRowHeight="14.4" x14ac:dyDescent="0.3"/>
  <cols>
    <col min="1" max="6" width="3" style="56" customWidth="1"/>
    <col min="7" max="7" width="30.5546875" style="56" customWidth="1"/>
    <col min="8" max="8" width="7.88671875" bestFit="1" customWidth="1"/>
    <col min="9" max="12" width="8.44140625" bestFit="1" customWidth="1"/>
    <col min="13" max="14" width="8.6640625" bestFit="1" customWidth="1"/>
    <col min="15" max="15" width="8.44140625" bestFit="1" customWidth="1"/>
    <col min="16" max="16" width="9.33203125" bestFit="1" customWidth="1"/>
    <col min="17" max="17" width="7.88671875" bestFit="1" customWidth="1"/>
    <col min="18" max="19" width="8.6640625" bestFit="1" customWidth="1"/>
    <col min="20" max="20" width="8.33203125" hidden="1" customWidth="1"/>
    <col min="21" max="23" width="10" bestFit="1" customWidth="1"/>
    <col min="24" max="24" width="32.5546875" style="68" customWidth="1"/>
    <col min="28" max="32" width="3" style="105" customWidth="1"/>
    <col min="33" max="33" width="23.44140625" style="105" customWidth="1"/>
    <col min="34" max="35" width="7.109375" style="109" hidden="1" customWidth="1"/>
    <col min="36" max="36" width="7.88671875" style="109" hidden="1" customWidth="1"/>
    <col min="37" max="37" width="8.33203125" style="109" hidden="1" customWidth="1"/>
    <col min="38" max="38" width="7.109375" style="109" hidden="1" customWidth="1"/>
    <col min="39" max="39" width="7.5546875" style="109" hidden="1" customWidth="1"/>
    <col min="40" max="41" width="7.109375" style="109" hidden="1" customWidth="1"/>
    <col min="42" max="42" width="7.5546875" style="109" hidden="1" customWidth="1"/>
    <col min="43" max="44" width="7.88671875" style="109" hidden="1" customWidth="1"/>
    <col min="45" max="45" width="7.109375" style="109" hidden="1" customWidth="1"/>
    <col min="46" max="46" width="7.5546875" style="109" hidden="1" customWidth="1"/>
    <col min="47" max="49" width="9.5546875" style="109" hidden="1" customWidth="1"/>
    <col min="50" max="50" width="7.5546875" style="109" hidden="1" customWidth="1"/>
    <col min="51" max="51" width="10.109375" style="110" customWidth="1"/>
    <col min="52" max="52" width="9.5546875" style="110" customWidth="1"/>
    <col min="53" max="53" width="10" style="110" bestFit="1" customWidth="1"/>
    <col min="54" max="54" width="22.88671875" style="111" customWidth="1"/>
  </cols>
  <sheetData>
    <row r="1" spans="1:54" s="65" customFormat="1" ht="33.75" customHeight="1" thickBot="1" x14ac:dyDescent="0.25">
      <c r="A1" s="63"/>
      <c r="B1" s="63"/>
      <c r="C1" s="63"/>
      <c r="D1" s="63"/>
      <c r="E1" s="63"/>
      <c r="F1" s="63"/>
      <c r="G1" s="63"/>
      <c r="H1" s="64" t="s">
        <v>266</v>
      </c>
      <c r="I1" s="64" t="s">
        <v>267</v>
      </c>
      <c r="J1" s="64" t="s">
        <v>268</v>
      </c>
      <c r="K1" s="64" t="s">
        <v>269</v>
      </c>
      <c r="L1" s="64" t="s">
        <v>270</v>
      </c>
      <c r="M1" s="64" t="s">
        <v>271</v>
      </c>
      <c r="N1" s="64" t="s">
        <v>272</v>
      </c>
      <c r="O1" s="64" t="s">
        <v>273</v>
      </c>
      <c r="P1" s="64" t="s">
        <v>274</v>
      </c>
      <c r="Q1" s="64" t="s">
        <v>294</v>
      </c>
      <c r="R1" s="64" t="s">
        <v>281</v>
      </c>
      <c r="S1" s="64" t="s">
        <v>282</v>
      </c>
      <c r="T1" s="64"/>
      <c r="U1" s="64" t="s">
        <v>0</v>
      </c>
      <c r="V1" s="64" t="s">
        <v>284</v>
      </c>
      <c r="W1" s="64" t="s">
        <v>283</v>
      </c>
      <c r="X1" s="68"/>
      <c r="AB1" s="83"/>
      <c r="AC1" s="83"/>
      <c r="AD1" s="83"/>
      <c r="AE1" s="83"/>
      <c r="AF1" s="83"/>
      <c r="AG1" s="83"/>
      <c r="AH1" s="84"/>
      <c r="AI1" s="84"/>
      <c r="AJ1" s="84"/>
      <c r="AK1" s="84"/>
      <c r="AL1" s="84" t="s">
        <v>221</v>
      </c>
      <c r="AM1" s="84" t="s">
        <v>222</v>
      </c>
      <c r="AN1" s="84" t="s">
        <v>223</v>
      </c>
      <c r="AO1" s="84" t="s">
        <v>224</v>
      </c>
      <c r="AP1" s="84" t="s">
        <v>225</v>
      </c>
      <c r="AQ1" s="84" t="s">
        <v>226</v>
      </c>
      <c r="AR1" s="84" t="s">
        <v>227</v>
      </c>
      <c r="AS1" s="84" t="s">
        <v>228</v>
      </c>
      <c r="AT1" s="84" t="s">
        <v>229</v>
      </c>
      <c r="AU1" s="84" t="s">
        <v>260</v>
      </c>
      <c r="AV1" s="84" t="s">
        <v>234</v>
      </c>
      <c r="AW1" s="84" t="s">
        <v>235</v>
      </c>
      <c r="AX1" s="84"/>
      <c r="AY1" s="85" t="s">
        <v>236</v>
      </c>
      <c r="AZ1" s="85" t="s">
        <v>220</v>
      </c>
      <c r="BA1" s="85" t="s">
        <v>240</v>
      </c>
      <c r="BB1" s="85" t="s">
        <v>241</v>
      </c>
    </row>
    <row r="2" spans="1:54" ht="15" thickTop="1" x14ac:dyDescent="0.3">
      <c r="A2" s="50"/>
      <c r="B2" s="50" t="s">
        <v>1</v>
      </c>
      <c r="C2" s="50"/>
      <c r="D2" s="50"/>
      <c r="E2" s="50"/>
      <c r="F2" s="50"/>
      <c r="G2" s="50"/>
      <c r="H2" s="51"/>
      <c r="I2" s="51"/>
      <c r="J2" s="51"/>
      <c r="K2" s="51"/>
      <c r="L2" s="51"/>
      <c r="M2" s="51"/>
      <c r="N2" s="51"/>
      <c r="O2" s="51"/>
      <c r="P2" s="51"/>
      <c r="Q2" s="51"/>
      <c r="R2" s="51"/>
      <c r="S2" s="51"/>
      <c r="T2" s="51"/>
      <c r="U2" s="51"/>
      <c r="V2" s="51"/>
      <c r="W2" s="51"/>
      <c r="AB2" s="86" t="s">
        <v>1</v>
      </c>
      <c r="AC2" s="86"/>
      <c r="AD2" s="86"/>
      <c r="AE2" s="86"/>
      <c r="AF2" s="86"/>
      <c r="AG2" s="86"/>
      <c r="AH2" s="87"/>
      <c r="AI2" s="87"/>
      <c r="AJ2" s="87"/>
      <c r="AK2" s="87"/>
      <c r="AL2" s="87"/>
      <c r="AM2" s="87"/>
      <c r="AN2" s="87"/>
      <c r="AO2" s="87"/>
      <c r="AP2" s="87"/>
      <c r="AQ2" s="87"/>
      <c r="AR2" s="87"/>
      <c r="AS2" s="87"/>
      <c r="AT2" s="87"/>
      <c r="AU2" s="87"/>
      <c r="AV2" s="87"/>
      <c r="AW2" s="87"/>
      <c r="AX2" s="87"/>
      <c r="AY2" s="88"/>
      <c r="AZ2" s="88"/>
      <c r="BA2" s="88"/>
      <c r="BB2" s="89"/>
    </row>
    <row r="3" spans="1:54" x14ac:dyDescent="0.3">
      <c r="A3" s="50"/>
      <c r="B3" s="50"/>
      <c r="C3" s="50"/>
      <c r="D3" s="50" t="s">
        <v>2</v>
      </c>
      <c r="E3" s="50"/>
      <c r="F3" s="50"/>
      <c r="G3" s="50"/>
      <c r="H3" s="51"/>
      <c r="I3" s="51"/>
      <c r="J3" s="51"/>
      <c r="K3" s="51"/>
      <c r="L3" s="51"/>
      <c r="M3" s="51"/>
      <c r="N3" s="51"/>
      <c r="O3" s="51"/>
      <c r="P3" s="51"/>
      <c r="Q3" s="51"/>
      <c r="R3" s="51"/>
      <c r="S3" s="51"/>
      <c r="T3" s="51"/>
      <c r="U3" s="51"/>
      <c r="V3" s="51"/>
      <c r="W3" s="51"/>
      <c r="AB3" s="86"/>
      <c r="AC3" s="86"/>
      <c r="AD3" s="86" t="s">
        <v>2</v>
      </c>
      <c r="AE3" s="86"/>
      <c r="AF3" s="86"/>
      <c r="AG3" s="86"/>
      <c r="AH3" s="87"/>
      <c r="AI3" s="87"/>
      <c r="AJ3" s="87"/>
      <c r="AK3" s="87"/>
      <c r="AL3" s="87"/>
      <c r="AM3" s="87"/>
      <c r="AN3" s="87"/>
      <c r="AO3" s="87"/>
      <c r="AP3" s="87"/>
      <c r="AQ3" s="87"/>
      <c r="AR3" s="87"/>
      <c r="AS3" s="87"/>
      <c r="AT3" s="87"/>
      <c r="AU3" s="87"/>
      <c r="AV3" s="87"/>
      <c r="AW3" s="87"/>
      <c r="AX3" s="87"/>
      <c r="AY3" s="88"/>
      <c r="AZ3" s="88"/>
      <c r="BA3" s="88"/>
      <c r="BB3" s="89"/>
    </row>
    <row r="4" spans="1:54" x14ac:dyDescent="0.3">
      <c r="A4" s="50"/>
      <c r="B4" s="50"/>
      <c r="C4" s="50"/>
      <c r="D4" s="50"/>
      <c r="E4" s="50" t="s">
        <v>74</v>
      </c>
      <c r="F4" s="50"/>
      <c r="G4" s="50"/>
      <c r="H4" s="51"/>
      <c r="I4" s="51"/>
      <c r="J4" s="51"/>
      <c r="K4" s="51"/>
      <c r="L4" s="51"/>
      <c r="M4" s="51"/>
      <c r="N4" s="51"/>
      <c r="O4" s="51"/>
      <c r="P4" s="51"/>
      <c r="Q4" s="51"/>
      <c r="R4" s="51"/>
      <c r="S4" s="51"/>
      <c r="T4" s="51"/>
      <c r="U4" s="51"/>
      <c r="V4" s="51"/>
      <c r="W4" s="51"/>
      <c r="AB4" s="86"/>
      <c r="AC4" s="86"/>
      <c r="AD4" s="86"/>
      <c r="AE4" s="86" t="s">
        <v>74</v>
      </c>
      <c r="AF4" s="86"/>
      <c r="AG4" s="86"/>
      <c r="AH4" s="87"/>
      <c r="AI4" s="87"/>
      <c r="AJ4" s="87"/>
      <c r="AK4" s="87"/>
      <c r="AL4" s="87"/>
      <c r="AM4" s="87"/>
      <c r="AN4" s="87"/>
      <c r="AO4" s="87"/>
      <c r="AP4" s="87"/>
      <c r="AQ4" s="87"/>
      <c r="AR4" s="87"/>
      <c r="AS4" s="87"/>
      <c r="AT4" s="87"/>
      <c r="AU4" s="87"/>
      <c r="AV4" s="87"/>
      <c r="AW4" s="87"/>
      <c r="AX4" s="87"/>
      <c r="AY4" s="88"/>
      <c r="AZ4" s="88"/>
      <c r="BA4" s="88"/>
      <c r="BB4" s="89"/>
    </row>
    <row r="5" spans="1:54" x14ac:dyDescent="0.3">
      <c r="A5" s="50"/>
      <c r="B5" s="50"/>
      <c r="C5" s="50"/>
      <c r="D5" s="50"/>
      <c r="E5" s="50"/>
      <c r="F5" s="50" t="s">
        <v>75</v>
      </c>
      <c r="G5" s="50"/>
      <c r="H5" s="51">
        <v>0</v>
      </c>
      <c r="I5" s="51">
        <v>0</v>
      </c>
      <c r="J5" s="51">
        <v>0</v>
      </c>
      <c r="K5" s="51">
        <v>10434.290000000001</v>
      </c>
      <c r="L5" s="51">
        <v>-1558.69</v>
      </c>
      <c r="M5" s="51">
        <v>207958.45</v>
      </c>
      <c r="N5" s="51">
        <v>168614.58</v>
      </c>
      <c r="O5" s="51">
        <v>0</v>
      </c>
      <c r="P5" s="51">
        <v>0</v>
      </c>
      <c r="Q5" s="51">
        <v>69317.960000000006</v>
      </c>
      <c r="R5" s="51">
        <v>201866.14</v>
      </c>
      <c r="S5" s="51">
        <v>16877</v>
      </c>
      <c r="T5" s="51"/>
      <c r="U5" s="51">
        <f t="shared" ref="U5:U15" si="0">ROUND(SUM(H5:T5),5)</f>
        <v>673509.73</v>
      </c>
      <c r="V5" s="67">
        <v>663000</v>
      </c>
      <c r="W5" s="67">
        <v>663000</v>
      </c>
      <c r="AB5" s="86"/>
      <c r="AC5" s="86"/>
      <c r="AD5" s="86"/>
      <c r="AE5" s="86"/>
      <c r="AF5" s="86" t="s">
        <v>75</v>
      </c>
      <c r="AG5" s="86"/>
      <c r="AH5" s="87"/>
      <c r="AI5" s="87"/>
      <c r="AJ5" s="87"/>
      <c r="AK5" s="87"/>
      <c r="AL5" s="87">
        <v>-4000.33</v>
      </c>
      <c r="AM5" s="87">
        <v>0</v>
      </c>
      <c r="AN5" s="87">
        <v>0</v>
      </c>
      <c r="AO5" s="87">
        <v>0</v>
      </c>
      <c r="AP5" s="87">
        <v>0</v>
      </c>
      <c r="AQ5" s="87">
        <v>198022.72</v>
      </c>
      <c r="AR5" s="87">
        <v>156187.59</v>
      </c>
      <c r="AS5" s="87">
        <v>3095.51</v>
      </c>
      <c r="AT5" s="87">
        <v>0</v>
      </c>
      <c r="AU5" s="87">
        <v>66007.55</v>
      </c>
      <c r="AV5" s="87">
        <v>190781.16</v>
      </c>
      <c r="AW5" s="87">
        <v>13907</v>
      </c>
      <c r="AX5" s="87"/>
      <c r="AY5" s="88">
        <f t="shared" ref="AY5:AY15" si="1">ROUND(SUM(AH5:AX5),5)</f>
        <v>624001.19999999995</v>
      </c>
      <c r="AZ5" s="88">
        <v>625300</v>
      </c>
      <c r="BA5" s="88">
        <v>663000</v>
      </c>
      <c r="BB5" s="89"/>
    </row>
    <row r="6" spans="1:54" x14ac:dyDescent="0.3">
      <c r="A6" s="50"/>
      <c r="B6" s="50"/>
      <c r="C6" s="50"/>
      <c r="D6" s="50"/>
      <c r="E6" s="50"/>
      <c r="F6" s="50" t="s">
        <v>76</v>
      </c>
      <c r="G6" s="50"/>
      <c r="H6" s="51">
        <v>0</v>
      </c>
      <c r="I6" s="51">
        <v>2255.1999999999998</v>
      </c>
      <c r="J6" s="51">
        <v>0</v>
      </c>
      <c r="K6" s="51">
        <v>28316.05</v>
      </c>
      <c r="L6" s="51">
        <v>0</v>
      </c>
      <c r="M6" s="51">
        <v>0</v>
      </c>
      <c r="N6" s="51">
        <v>0</v>
      </c>
      <c r="O6" s="51">
        <v>0</v>
      </c>
      <c r="P6" s="51">
        <v>4147.16</v>
      </c>
      <c r="Q6" s="51">
        <v>0</v>
      </c>
      <c r="R6" s="51">
        <v>0</v>
      </c>
      <c r="S6" s="51">
        <v>2000</v>
      </c>
      <c r="T6" s="51"/>
      <c r="U6" s="51">
        <f t="shared" si="0"/>
        <v>36718.410000000003</v>
      </c>
      <c r="V6" s="67">
        <v>25000</v>
      </c>
      <c r="W6" s="67">
        <v>25000</v>
      </c>
      <c r="AB6" s="86"/>
      <c r="AC6" s="86"/>
      <c r="AD6" s="86"/>
      <c r="AE6" s="86"/>
      <c r="AF6" s="86" t="s">
        <v>76</v>
      </c>
      <c r="AG6" s="86"/>
      <c r="AH6" s="87"/>
      <c r="AI6" s="87"/>
      <c r="AJ6" s="87"/>
      <c r="AK6" s="87"/>
      <c r="AL6" s="87">
        <v>0</v>
      </c>
      <c r="AM6" s="87">
        <v>0</v>
      </c>
      <c r="AN6" s="87">
        <v>0</v>
      </c>
      <c r="AO6" s="87">
        <v>25398.66</v>
      </c>
      <c r="AP6" s="87">
        <v>0</v>
      </c>
      <c r="AQ6" s="87">
        <v>1708.76</v>
      </c>
      <c r="AR6" s="87">
        <v>0</v>
      </c>
      <c r="AS6" s="87">
        <v>0</v>
      </c>
      <c r="AT6" s="87">
        <v>0</v>
      </c>
      <c r="AU6" s="87">
        <v>0</v>
      </c>
      <c r="AV6" s="87">
        <v>0</v>
      </c>
      <c r="AW6" s="87">
        <v>17730</v>
      </c>
      <c r="AX6" s="87"/>
      <c r="AY6" s="88">
        <f t="shared" si="1"/>
        <v>44837.42</v>
      </c>
      <c r="AZ6" s="88">
        <v>15000</v>
      </c>
      <c r="BA6" s="88">
        <v>25000</v>
      </c>
      <c r="BB6" s="89" t="s">
        <v>254</v>
      </c>
    </row>
    <row r="7" spans="1:54" x14ac:dyDescent="0.3">
      <c r="A7" s="50"/>
      <c r="B7" s="50"/>
      <c r="C7" s="50"/>
      <c r="D7" s="50"/>
      <c r="E7" s="50"/>
      <c r="F7" s="50" t="s">
        <v>275</v>
      </c>
      <c r="G7" s="50"/>
      <c r="H7" s="51">
        <v>0</v>
      </c>
      <c r="I7" s="51">
        <v>-965.01</v>
      </c>
      <c r="J7" s="51">
        <v>0</v>
      </c>
      <c r="K7" s="51">
        <v>0</v>
      </c>
      <c r="L7" s="51">
        <v>0</v>
      </c>
      <c r="M7" s="51">
        <v>0</v>
      </c>
      <c r="N7" s="51">
        <v>0</v>
      </c>
      <c r="O7" s="51">
        <v>0</v>
      </c>
      <c r="P7" s="51">
        <v>0</v>
      </c>
      <c r="Q7" s="51">
        <v>0</v>
      </c>
      <c r="R7" s="51">
        <v>0</v>
      </c>
      <c r="S7" s="51">
        <v>0</v>
      </c>
      <c r="T7" s="51"/>
      <c r="U7" s="51">
        <f t="shared" si="0"/>
        <v>-965.01</v>
      </c>
      <c r="V7" s="51">
        <v>0</v>
      </c>
      <c r="W7" s="51">
        <v>0</v>
      </c>
      <c r="AB7" s="86"/>
      <c r="AC7" s="86"/>
      <c r="AD7" s="86"/>
      <c r="AE7" s="86"/>
      <c r="AF7" s="86"/>
      <c r="AG7" s="86"/>
      <c r="AH7" s="87"/>
      <c r="AI7" s="87"/>
      <c r="AJ7" s="87"/>
      <c r="AK7" s="87"/>
      <c r="AL7" s="87"/>
      <c r="AM7" s="87"/>
      <c r="AN7" s="87"/>
      <c r="AO7" s="87"/>
      <c r="AP7" s="87"/>
      <c r="AQ7" s="87"/>
      <c r="AR7" s="87"/>
      <c r="AS7" s="87"/>
      <c r="AT7" s="87"/>
      <c r="AU7" s="87"/>
      <c r="AV7" s="87"/>
      <c r="AW7" s="87"/>
      <c r="AX7" s="87"/>
      <c r="AY7" s="88"/>
      <c r="AZ7" s="88"/>
      <c r="BA7" s="88"/>
      <c r="BB7" s="89"/>
    </row>
    <row r="8" spans="1:54" x14ac:dyDescent="0.3">
      <c r="A8" s="50"/>
      <c r="B8" s="50"/>
      <c r="C8" s="50"/>
      <c r="D8" s="50"/>
      <c r="E8" s="50"/>
      <c r="F8" s="50" t="s">
        <v>77</v>
      </c>
      <c r="G8" s="50"/>
      <c r="H8" s="51">
        <v>0</v>
      </c>
      <c r="I8" s="51">
        <v>0</v>
      </c>
      <c r="J8" s="51">
        <v>0</v>
      </c>
      <c r="K8" s="51">
        <v>0</v>
      </c>
      <c r="L8" s="51">
        <v>0</v>
      </c>
      <c r="M8" s="51">
        <v>0</v>
      </c>
      <c r="N8" s="51">
        <v>0</v>
      </c>
      <c r="O8" s="51">
        <v>0</v>
      </c>
      <c r="P8" s="51">
        <v>0</v>
      </c>
      <c r="Q8" s="51">
        <v>0</v>
      </c>
      <c r="R8" s="51">
        <v>4035.74</v>
      </c>
      <c r="S8" s="51">
        <v>3049</v>
      </c>
      <c r="T8" s="51"/>
      <c r="U8" s="51">
        <f t="shared" si="0"/>
        <v>7084.74</v>
      </c>
      <c r="V8" s="67">
        <v>9600</v>
      </c>
      <c r="W8" s="67">
        <v>9600</v>
      </c>
      <c r="AB8" s="86"/>
      <c r="AC8" s="86"/>
      <c r="AD8" s="86"/>
      <c r="AE8" s="86"/>
      <c r="AF8" s="86" t="s">
        <v>77</v>
      </c>
      <c r="AG8" s="86"/>
      <c r="AH8" s="87"/>
      <c r="AI8" s="87"/>
      <c r="AJ8" s="87"/>
      <c r="AK8" s="87"/>
      <c r="AL8" s="87">
        <v>0</v>
      </c>
      <c r="AM8" s="87">
        <v>0</v>
      </c>
      <c r="AN8" s="87">
        <v>0</v>
      </c>
      <c r="AO8" s="87">
        <v>0</v>
      </c>
      <c r="AP8" s="87">
        <v>0</v>
      </c>
      <c r="AQ8" s="87">
        <v>0</v>
      </c>
      <c r="AR8" s="87">
        <v>3744.8</v>
      </c>
      <c r="AS8" s="87">
        <v>0</v>
      </c>
      <c r="AT8" s="87">
        <v>2285.4699999999998</v>
      </c>
      <c r="AU8" s="87">
        <v>0</v>
      </c>
      <c r="AV8" s="87">
        <v>3115.61</v>
      </c>
      <c r="AW8" s="87">
        <v>260</v>
      </c>
      <c r="AX8" s="87"/>
      <c r="AY8" s="88">
        <f t="shared" si="1"/>
        <v>9405.8799999999992</v>
      </c>
      <c r="AZ8" s="88">
        <v>9000</v>
      </c>
      <c r="BA8" s="88">
        <v>9600</v>
      </c>
      <c r="BB8" s="89" t="s">
        <v>254</v>
      </c>
    </row>
    <row r="9" spans="1:54" x14ac:dyDescent="0.3">
      <c r="A9" s="50"/>
      <c r="B9" s="50"/>
      <c r="C9" s="50"/>
      <c r="D9" s="50"/>
      <c r="E9" s="50"/>
      <c r="F9" s="50" t="s">
        <v>78</v>
      </c>
      <c r="G9" s="50"/>
      <c r="H9" s="51">
        <v>0</v>
      </c>
      <c r="I9" s="51">
        <v>511.88</v>
      </c>
      <c r="J9" s="51">
        <v>0</v>
      </c>
      <c r="K9" s="51">
        <v>0</v>
      </c>
      <c r="L9" s="51">
        <v>0</v>
      </c>
      <c r="M9" s="51">
        <v>0</v>
      </c>
      <c r="N9" s="51">
        <v>0</v>
      </c>
      <c r="O9" s="51">
        <v>8608.42</v>
      </c>
      <c r="P9" s="51">
        <v>1439.07</v>
      </c>
      <c r="Q9" s="51">
        <v>0</v>
      </c>
      <c r="R9" s="51">
        <v>579.12</v>
      </c>
      <c r="S9" s="51">
        <v>0</v>
      </c>
      <c r="T9" s="51"/>
      <c r="U9" s="51">
        <f t="shared" si="0"/>
        <v>11138.49</v>
      </c>
      <c r="V9" s="67">
        <v>4500</v>
      </c>
      <c r="W9" s="67">
        <v>4500</v>
      </c>
      <c r="AB9" s="86"/>
      <c r="AC9" s="86"/>
      <c r="AD9" s="86"/>
      <c r="AE9" s="86"/>
      <c r="AF9" s="86" t="s">
        <v>78</v>
      </c>
      <c r="AG9" s="86"/>
      <c r="AH9" s="87"/>
      <c r="AI9" s="87"/>
      <c r="AJ9" s="87"/>
      <c r="AK9" s="87"/>
      <c r="AL9" s="87">
        <v>0</v>
      </c>
      <c r="AM9" s="87">
        <v>0</v>
      </c>
      <c r="AN9" s="87">
        <v>0</v>
      </c>
      <c r="AO9" s="87">
        <v>0</v>
      </c>
      <c r="AP9" s="87">
        <v>0</v>
      </c>
      <c r="AQ9" s="87">
        <v>0</v>
      </c>
      <c r="AR9" s="87">
        <v>3829.4</v>
      </c>
      <c r="AS9" s="87">
        <v>0</v>
      </c>
      <c r="AT9" s="87">
        <v>644.45000000000005</v>
      </c>
      <c r="AU9" s="87">
        <v>0</v>
      </c>
      <c r="AV9" s="87">
        <v>0</v>
      </c>
      <c r="AW9" s="87">
        <v>2014.63</v>
      </c>
      <c r="AX9" s="87"/>
      <c r="AY9" s="88">
        <f t="shared" si="1"/>
        <v>6488.48</v>
      </c>
      <c r="AZ9" s="88">
        <v>3500</v>
      </c>
      <c r="BA9" s="88">
        <v>4500</v>
      </c>
      <c r="BB9" s="89" t="s">
        <v>254</v>
      </c>
    </row>
    <row r="10" spans="1:54" x14ac:dyDescent="0.3">
      <c r="A10" s="50"/>
      <c r="B10" s="50"/>
      <c r="C10" s="50"/>
      <c r="D10" s="50"/>
      <c r="E10" s="50"/>
      <c r="F10" s="50" t="s">
        <v>79</v>
      </c>
      <c r="G10" s="50"/>
      <c r="H10" s="51">
        <v>0</v>
      </c>
      <c r="I10" s="51">
        <v>0</v>
      </c>
      <c r="J10" s="51">
        <v>0</v>
      </c>
      <c r="K10" s="51">
        <v>0</v>
      </c>
      <c r="L10" s="51">
        <v>0</v>
      </c>
      <c r="M10" s="51">
        <v>0</v>
      </c>
      <c r="N10" s="51">
        <v>0</v>
      </c>
      <c r="O10" s="51">
        <v>0</v>
      </c>
      <c r="P10" s="51">
        <v>0</v>
      </c>
      <c r="Q10" s="51">
        <v>0</v>
      </c>
      <c r="R10" s="51">
        <v>0</v>
      </c>
      <c r="S10" s="51">
        <v>-4890</v>
      </c>
      <c r="T10" s="51"/>
      <c r="U10" s="51">
        <f t="shared" si="0"/>
        <v>-4890</v>
      </c>
      <c r="V10" s="67">
        <v>10000</v>
      </c>
      <c r="W10" s="67">
        <v>10000</v>
      </c>
      <c r="AB10" s="86"/>
      <c r="AC10" s="86"/>
      <c r="AD10" s="86"/>
      <c r="AE10" s="86"/>
      <c r="AF10" s="86" t="s">
        <v>79</v>
      </c>
      <c r="AG10" s="86"/>
      <c r="AH10" s="87"/>
      <c r="AI10" s="87"/>
      <c r="AJ10" s="87"/>
      <c r="AK10" s="87"/>
      <c r="AL10" s="87">
        <v>0</v>
      </c>
      <c r="AM10" s="87">
        <v>0</v>
      </c>
      <c r="AN10" s="87">
        <v>0</v>
      </c>
      <c r="AO10" s="87">
        <v>4889.55</v>
      </c>
      <c r="AP10" s="87">
        <v>0</v>
      </c>
      <c r="AQ10" s="87">
        <v>0</v>
      </c>
      <c r="AR10" s="87">
        <v>0</v>
      </c>
      <c r="AS10" s="87">
        <v>0</v>
      </c>
      <c r="AT10" s="87">
        <v>0</v>
      </c>
      <c r="AU10" s="87">
        <v>0</v>
      </c>
      <c r="AV10" s="87">
        <v>0</v>
      </c>
      <c r="AW10" s="87">
        <v>-1639</v>
      </c>
      <c r="AX10" s="87"/>
      <c r="AY10" s="88">
        <f t="shared" si="1"/>
        <v>3250.55</v>
      </c>
      <c r="AZ10" s="88">
        <v>10000</v>
      </c>
      <c r="BA10" s="88">
        <v>10000</v>
      </c>
      <c r="BB10" s="89"/>
    </row>
    <row r="11" spans="1:54" x14ac:dyDescent="0.3">
      <c r="A11" s="50"/>
      <c r="B11" s="50"/>
      <c r="C11" s="50"/>
      <c r="D11" s="50"/>
      <c r="E11" s="50"/>
      <c r="F11" s="50" t="s">
        <v>80</v>
      </c>
      <c r="G11" s="50"/>
      <c r="H11" s="51">
        <v>0</v>
      </c>
      <c r="I11" s="51">
        <v>0</v>
      </c>
      <c r="J11" s="51">
        <v>0</v>
      </c>
      <c r="K11" s="51">
        <v>0</v>
      </c>
      <c r="L11" s="51">
        <v>0</v>
      </c>
      <c r="M11" s="51">
        <v>48208.65</v>
      </c>
      <c r="N11" s="51">
        <v>0</v>
      </c>
      <c r="O11" s="51">
        <v>0</v>
      </c>
      <c r="P11" s="51">
        <v>0</v>
      </c>
      <c r="Q11" s="51">
        <v>0</v>
      </c>
      <c r="R11" s="51">
        <v>0</v>
      </c>
      <c r="S11" s="51">
        <v>48301</v>
      </c>
      <c r="T11" s="51"/>
      <c r="U11" s="51">
        <f t="shared" si="0"/>
        <v>96509.65</v>
      </c>
      <c r="V11" s="67">
        <v>40000</v>
      </c>
      <c r="W11" s="67">
        <v>40000</v>
      </c>
      <c r="AB11" s="86"/>
      <c r="AC11" s="86"/>
      <c r="AD11" s="86"/>
      <c r="AE11" s="86"/>
      <c r="AF11" s="86" t="s">
        <v>80</v>
      </c>
      <c r="AG11" s="86"/>
      <c r="AH11" s="87"/>
      <c r="AI11" s="87"/>
      <c r="AJ11" s="87"/>
      <c r="AK11" s="87"/>
      <c r="AL11" s="87">
        <v>0</v>
      </c>
      <c r="AM11" s="87">
        <v>0</v>
      </c>
      <c r="AN11" s="87">
        <v>0</v>
      </c>
      <c r="AO11" s="87">
        <v>0</v>
      </c>
      <c r="AP11" s="87">
        <v>0</v>
      </c>
      <c r="AQ11" s="87">
        <v>0</v>
      </c>
      <c r="AR11" s="87">
        <v>43513.8</v>
      </c>
      <c r="AS11" s="87">
        <v>0</v>
      </c>
      <c r="AT11" s="87">
        <v>0</v>
      </c>
      <c r="AU11" s="87">
        <v>0</v>
      </c>
      <c r="AV11" s="87">
        <v>0</v>
      </c>
      <c r="AW11" s="87">
        <v>41834.04</v>
      </c>
      <c r="AX11" s="87"/>
      <c r="AY11" s="88">
        <f t="shared" si="1"/>
        <v>85347.839999999997</v>
      </c>
      <c r="AZ11" s="88">
        <v>40000</v>
      </c>
      <c r="BA11" s="88">
        <v>40000</v>
      </c>
      <c r="BB11" s="89"/>
    </row>
    <row r="12" spans="1:54" x14ac:dyDescent="0.3">
      <c r="A12" s="50"/>
      <c r="B12" s="50"/>
      <c r="C12" s="50"/>
      <c r="D12" s="50"/>
      <c r="E12" s="50"/>
      <c r="F12" s="50" t="s">
        <v>81</v>
      </c>
      <c r="G12" s="50"/>
      <c r="H12" s="51">
        <v>0</v>
      </c>
      <c r="I12" s="51">
        <v>0</v>
      </c>
      <c r="J12" s="51">
        <v>0</v>
      </c>
      <c r="K12" s="51">
        <v>0</v>
      </c>
      <c r="L12" s="51">
        <v>0</v>
      </c>
      <c r="M12" s="51">
        <v>934.92</v>
      </c>
      <c r="N12" s="51">
        <v>2181.48</v>
      </c>
      <c r="O12" s="51">
        <v>0</v>
      </c>
      <c r="P12" s="51">
        <v>0</v>
      </c>
      <c r="Q12" s="51">
        <v>0</v>
      </c>
      <c r="R12" s="51">
        <v>2204.91</v>
      </c>
      <c r="S12" s="51">
        <v>4023.37</v>
      </c>
      <c r="T12" s="51"/>
      <c r="U12" s="51">
        <f t="shared" si="0"/>
        <v>9344.68</v>
      </c>
      <c r="V12" s="67">
        <v>4000</v>
      </c>
      <c r="W12" s="67">
        <v>4000</v>
      </c>
      <c r="AB12" s="86"/>
      <c r="AC12" s="86"/>
      <c r="AD12" s="86"/>
      <c r="AE12" s="86"/>
      <c r="AF12" s="86" t="s">
        <v>81</v>
      </c>
      <c r="AG12" s="86"/>
      <c r="AH12" s="87"/>
      <c r="AI12" s="87"/>
      <c r="AJ12" s="87"/>
      <c r="AK12" s="87"/>
      <c r="AL12" s="87">
        <v>0</v>
      </c>
      <c r="AM12" s="87">
        <v>0</v>
      </c>
      <c r="AN12" s="87">
        <v>0</v>
      </c>
      <c r="AO12" s="87">
        <v>0</v>
      </c>
      <c r="AP12" s="87">
        <v>0</v>
      </c>
      <c r="AQ12" s="87">
        <v>0</v>
      </c>
      <c r="AR12" s="87">
        <v>0</v>
      </c>
      <c r="AS12" s="87">
        <v>0</v>
      </c>
      <c r="AT12" s="87">
        <v>0</v>
      </c>
      <c r="AU12" s="87">
        <v>0</v>
      </c>
      <c r="AV12" s="87">
        <v>2208.9</v>
      </c>
      <c r="AW12" s="87">
        <v>946.84</v>
      </c>
      <c r="AX12" s="87"/>
      <c r="AY12" s="88">
        <f t="shared" si="1"/>
        <v>3155.74</v>
      </c>
      <c r="AZ12" s="88">
        <v>7000</v>
      </c>
      <c r="BA12" s="88">
        <v>4000</v>
      </c>
      <c r="BB12" s="89"/>
    </row>
    <row r="13" spans="1:54" x14ac:dyDescent="0.3">
      <c r="A13" s="50"/>
      <c r="B13" s="50"/>
      <c r="C13" s="50"/>
      <c r="D13" s="50"/>
      <c r="E13" s="50"/>
      <c r="F13" s="50" t="s">
        <v>82</v>
      </c>
      <c r="G13" s="50"/>
      <c r="H13" s="51">
        <v>0</v>
      </c>
      <c r="I13" s="51">
        <v>-0.37</v>
      </c>
      <c r="J13" s="51">
        <v>0</v>
      </c>
      <c r="K13" s="51">
        <v>0</v>
      </c>
      <c r="L13" s="51">
        <v>0</v>
      </c>
      <c r="M13" s="51">
        <v>0</v>
      </c>
      <c r="N13" s="51">
        <v>0</v>
      </c>
      <c r="O13" s="51">
        <v>5630.34</v>
      </c>
      <c r="P13" s="51">
        <v>0</v>
      </c>
      <c r="Q13" s="51">
        <v>0</v>
      </c>
      <c r="R13" s="51">
        <v>5460.53</v>
      </c>
      <c r="S13" s="51">
        <v>0</v>
      </c>
      <c r="T13" s="51"/>
      <c r="U13" s="51">
        <f t="shared" si="0"/>
        <v>11090.5</v>
      </c>
      <c r="V13" s="67">
        <v>10500</v>
      </c>
      <c r="W13" s="67">
        <v>10500</v>
      </c>
      <c r="AB13" s="86"/>
      <c r="AC13" s="86"/>
      <c r="AD13" s="86"/>
      <c r="AE13" s="86"/>
      <c r="AF13" s="86" t="s">
        <v>82</v>
      </c>
      <c r="AG13" s="86"/>
      <c r="AH13" s="87"/>
      <c r="AI13" s="87"/>
      <c r="AJ13" s="87"/>
      <c r="AK13" s="87"/>
      <c r="AL13" s="87">
        <v>0</v>
      </c>
      <c r="AM13" s="87">
        <v>0</v>
      </c>
      <c r="AN13" s="87">
        <v>0</v>
      </c>
      <c r="AO13" s="87">
        <v>0</v>
      </c>
      <c r="AP13" s="87">
        <v>0</v>
      </c>
      <c r="AQ13" s="87">
        <v>0</v>
      </c>
      <c r="AR13" s="87">
        <v>5671.54</v>
      </c>
      <c r="AS13" s="87">
        <v>0</v>
      </c>
      <c r="AT13" s="87">
        <v>0</v>
      </c>
      <c r="AU13" s="87">
        <v>0</v>
      </c>
      <c r="AV13" s="87">
        <v>4670.6000000000004</v>
      </c>
      <c r="AW13" s="87">
        <v>143</v>
      </c>
      <c r="AX13" s="87"/>
      <c r="AY13" s="88">
        <f t="shared" si="1"/>
        <v>10485.14</v>
      </c>
      <c r="AZ13" s="88">
        <v>10000</v>
      </c>
      <c r="BA13" s="88">
        <v>10500</v>
      </c>
      <c r="BB13" s="89"/>
    </row>
    <row r="14" spans="1:54" ht="15" thickBot="1" x14ac:dyDescent="0.35">
      <c r="A14" s="50"/>
      <c r="B14" s="50"/>
      <c r="C14" s="50"/>
      <c r="D14" s="50"/>
      <c r="E14" s="50"/>
      <c r="F14" s="50" t="s">
        <v>83</v>
      </c>
      <c r="G14" s="50"/>
      <c r="H14" s="52">
        <v>0</v>
      </c>
      <c r="I14" s="52">
        <v>0</v>
      </c>
      <c r="J14" s="52">
        <v>0</v>
      </c>
      <c r="K14" s="52">
        <v>0</v>
      </c>
      <c r="L14" s="52">
        <v>0</v>
      </c>
      <c r="M14" s="52">
        <v>0</v>
      </c>
      <c r="N14" s="52">
        <v>0</v>
      </c>
      <c r="O14" s="52">
        <v>115.4</v>
      </c>
      <c r="P14" s="52">
        <v>0</v>
      </c>
      <c r="Q14" s="52">
        <v>0</v>
      </c>
      <c r="R14" s="52">
        <v>0</v>
      </c>
      <c r="S14" s="52">
        <v>-115.63</v>
      </c>
      <c r="T14" s="52"/>
      <c r="U14" s="52">
        <f t="shared" si="0"/>
        <v>-0.23</v>
      </c>
      <c r="V14" s="69">
        <v>200</v>
      </c>
      <c r="W14" s="69">
        <v>200</v>
      </c>
      <c r="AB14" s="86"/>
      <c r="AC14" s="86"/>
      <c r="AD14" s="86"/>
      <c r="AE14" s="86" t="s">
        <v>84</v>
      </c>
      <c r="AF14" s="86" t="s">
        <v>83</v>
      </c>
      <c r="AG14" s="86"/>
      <c r="AH14" s="90"/>
      <c r="AI14" s="90"/>
      <c r="AJ14" s="90"/>
      <c r="AK14" s="90"/>
      <c r="AL14" s="90">
        <v>0</v>
      </c>
      <c r="AM14" s="90">
        <v>0</v>
      </c>
      <c r="AN14" s="90">
        <v>0</v>
      </c>
      <c r="AO14" s="90">
        <v>0</v>
      </c>
      <c r="AP14" s="90">
        <v>0</v>
      </c>
      <c r="AQ14" s="90">
        <v>115.4</v>
      </c>
      <c r="AR14" s="90">
        <v>0</v>
      </c>
      <c r="AS14" s="90">
        <v>0</v>
      </c>
      <c r="AT14" s="90">
        <v>0</v>
      </c>
      <c r="AU14" s="90">
        <v>0</v>
      </c>
      <c r="AV14" s="90">
        <v>0</v>
      </c>
      <c r="AW14" s="90">
        <v>0</v>
      </c>
      <c r="AX14" s="90"/>
      <c r="AY14" s="91">
        <f t="shared" si="1"/>
        <v>115.4</v>
      </c>
      <c r="AZ14" s="91">
        <v>200</v>
      </c>
      <c r="BA14" s="91">
        <v>200</v>
      </c>
      <c r="BB14" s="92"/>
    </row>
    <row r="15" spans="1:54" x14ac:dyDescent="0.3">
      <c r="A15" s="50"/>
      <c r="B15" s="50"/>
      <c r="C15" s="50"/>
      <c r="D15" s="50"/>
      <c r="E15" s="50" t="s">
        <v>84</v>
      </c>
      <c r="F15" s="50"/>
      <c r="G15" s="50"/>
      <c r="H15" s="51">
        <f t="shared" ref="H15:P15" si="2">ROUND(SUM(H4:H14),5)</f>
        <v>0</v>
      </c>
      <c r="I15" s="51">
        <f t="shared" si="2"/>
        <v>1801.7</v>
      </c>
      <c r="J15" s="51">
        <f t="shared" si="2"/>
        <v>0</v>
      </c>
      <c r="K15" s="51">
        <f t="shared" si="2"/>
        <v>38750.339999999997</v>
      </c>
      <c r="L15" s="51">
        <f t="shared" si="2"/>
        <v>-1558.69</v>
      </c>
      <c r="M15" s="51">
        <f t="shared" si="2"/>
        <v>257102.02</v>
      </c>
      <c r="N15" s="51">
        <f t="shared" si="2"/>
        <v>170796.06</v>
      </c>
      <c r="O15" s="51">
        <f t="shared" si="2"/>
        <v>14354.16</v>
      </c>
      <c r="P15" s="51">
        <f t="shared" si="2"/>
        <v>5586.23</v>
      </c>
      <c r="Q15" s="51">
        <f>ROUND(SUM(Q4:Q14),5)</f>
        <v>69317.960000000006</v>
      </c>
      <c r="R15" s="51">
        <f>ROUND(SUM(R4:R14),5)</f>
        <v>214146.44</v>
      </c>
      <c r="S15" s="51">
        <f>ROUND(SUM(S4:S14),5)</f>
        <v>69244.740000000005</v>
      </c>
      <c r="T15" s="51"/>
      <c r="U15" s="51">
        <f t="shared" si="0"/>
        <v>839540.96</v>
      </c>
      <c r="V15" s="51">
        <f>ROUND(SUM(V4:V14),5)</f>
        <v>766800</v>
      </c>
      <c r="W15" s="51">
        <f>ROUND(SUM(W4:W14),5)</f>
        <v>766800</v>
      </c>
      <c r="AB15" s="86"/>
      <c r="AC15" s="86"/>
      <c r="AD15" s="86"/>
      <c r="AE15" s="86" t="s">
        <v>85</v>
      </c>
      <c r="AF15" s="86"/>
      <c r="AG15" s="86"/>
      <c r="AH15" s="87"/>
      <c r="AI15" s="87"/>
      <c r="AJ15" s="87"/>
      <c r="AK15" s="87"/>
      <c r="AL15" s="87">
        <f t="shared" ref="AL15:AW15" si="3">ROUND(SUM(AL4:AL14),5)</f>
        <v>-4000.33</v>
      </c>
      <c r="AM15" s="87">
        <f t="shared" si="3"/>
        <v>0</v>
      </c>
      <c r="AN15" s="87">
        <f t="shared" si="3"/>
        <v>0</v>
      </c>
      <c r="AO15" s="87">
        <f t="shared" si="3"/>
        <v>30288.21</v>
      </c>
      <c r="AP15" s="87">
        <f t="shared" si="3"/>
        <v>0</v>
      </c>
      <c r="AQ15" s="87">
        <f t="shared" si="3"/>
        <v>199846.88</v>
      </c>
      <c r="AR15" s="87">
        <f t="shared" si="3"/>
        <v>212947.13</v>
      </c>
      <c r="AS15" s="87">
        <f t="shared" si="3"/>
        <v>3095.51</v>
      </c>
      <c r="AT15" s="87">
        <f t="shared" si="3"/>
        <v>2929.92</v>
      </c>
      <c r="AU15" s="87">
        <f t="shared" si="3"/>
        <v>66007.55</v>
      </c>
      <c r="AV15" s="87">
        <f t="shared" si="3"/>
        <v>200776.27</v>
      </c>
      <c r="AW15" s="87">
        <f t="shared" si="3"/>
        <v>75196.509999999995</v>
      </c>
      <c r="AX15" s="87"/>
      <c r="AY15" s="88">
        <f t="shared" si="1"/>
        <v>787087.65</v>
      </c>
      <c r="AZ15" s="88">
        <f>ROUND(SUM(AZ4:AZ14),5)</f>
        <v>720000</v>
      </c>
      <c r="BA15" s="88">
        <f>ROUND(SUM(BA4:BA14),5)</f>
        <v>766800</v>
      </c>
      <c r="BB15" s="89"/>
    </row>
    <row r="16" spans="1:54" x14ac:dyDescent="0.3">
      <c r="A16" s="50"/>
      <c r="B16" s="50"/>
      <c r="C16" s="50"/>
      <c r="D16" s="50"/>
      <c r="E16" s="50" t="s">
        <v>85</v>
      </c>
      <c r="F16" s="50"/>
      <c r="G16" s="50"/>
      <c r="H16" s="51"/>
      <c r="I16" s="51"/>
      <c r="J16" s="51"/>
      <c r="K16" s="51"/>
      <c r="L16" s="51"/>
      <c r="M16" s="51"/>
      <c r="N16" s="51"/>
      <c r="O16" s="51"/>
      <c r="P16" s="51"/>
      <c r="Q16" s="51"/>
      <c r="R16" s="51"/>
      <c r="S16" s="51"/>
      <c r="T16" s="51"/>
      <c r="U16" s="51"/>
      <c r="V16" s="51"/>
      <c r="W16" s="51"/>
      <c r="AB16" s="86"/>
      <c r="AC16" s="86"/>
      <c r="AD16" s="86"/>
      <c r="AE16" s="86"/>
      <c r="AF16" s="86"/>
      <c r="AG16" s="86"/>
      <c r="AH16" s="87"/>
      <c r="AI16" s="87"/>
      <c r="AJ16" s="87"/>
      <c r="AK16" s="87"/>
      <c r="AL16" s="87"/>
      <c r="AM16" s="87"/>
      <c r="AN16" s="87"/>
      <c r="AO16" s="87"/>
      <c r="AP16" s="87"/>
      <c r="AQ16" s="87"/>
      <c r="AR16" s="87"/>
      <c r="AS16" s="87"/>
      <c r="AT16" s="87"/>
      <c r="AU16" s="87"/>
      <c r="AV16" s="87"/>
      <c r="AW16" s="87"/>
      <c r="AX16" s="87"/>
      <c r="AY16" s="88"/>
      <c r="AZ16" s="88"/>
      <c r="BA16" s="88"/>
      <c r="BB16" s="89"/>
    </row>
    <row r="17" spans="1:54" x14ac:dyDescent="0.3">
      <c r="A17" s="50"/>
      <c r="B17" s="50"/>
      <c r="C17" s="50"/>
      <c r="D17" s="50"/>
      <c r="E17" s="50"/>
      <c r="F17" s="50" t="s">
        <v>86</v>
      </c>
      <c r="G17" s="50"/>
      <c r="H17" s="51">
        <v>518.41</v>
      </c>
      <c r="I17" s="51">
        <v>535.54999999999995</v>
      </c>
      <c r="J17" s="51">
        <v>500.23</v>
      </c>
      <c r="K17" s="51">
        <v>420.94</v>
      </c>
      <c r="L17" s="51">
        <v>405.16</v>
      </c>
      <c r="M17" s="51">
        <v>400.79</v>
      </c>
      <c r="N17" s="51">
        <v>586.54</v>
      </c>
      <c r="O17" s="51">
        <v>488.6</v>
      </c>
      <c r="P17" s="51">
        <v>447.88</v>
      </c>
      <c r="Q17" s="51">
        <v>638.1</v>
      </c>
      <c r="R17" s="51">
        <v>432.36</v>
      </c>
      <c r="S17" s="51">
        <v>432.04</v>
      </c>
      <c r="T17" s="51"/>
      <c r="U17" s="51">
        <f t="shared" ref="U17:U22" si="4">ROUND(SUM(H17:T17),5)</f>
        <v>5806.6</v>
      </c>
      <c r="V17" s="67">
        <v>10000</v>
      </c>
      <c r="W17" s="67">
        <v>5000</v>
      </c>
      <c r="X17" s="68" t="s">
        <v>292</v>
      </c>
      <c r="AB17" s="86"/>
      <c r="AC17" s="86"/>
      <c r="AD17" s="86"/>
      <c r="AE17" s="86"/>
      <c r="AF17" s="86" t="s">
        <v>86</v>
      </c>
      <c r="AG17" s="86"/>
      <c r="AH17" s="87"/>
      <c r="AI17" s="87"/>
      <c r="AJ17" s="87"/>
      <c r="AK17" s="87"/>
      <c r="AL17" s="87">
        <v>603.74</v>
      </c>
      <c r="AM17" s="87">
        <v>636.47</v>
      </c>
      <c r="AN17" s="87">
        <v>550.29999999999995</v>
      </c>
      <c r="AO17" s="87">
        <v>512.91999999999996</v>
      </c>
      <c r="AP17" s="87">
        <v>505.03</v>
      </c>
      <c r="AQ17" s="87">
        <v>452.33</v>
      </c>
      <c r="AR17" s="87">
        <v>7314.37</v>
      </c>
      <c r="AS17" s="87">
        <v>420.5</v>
      </c>
      <c r="AT17" s="87">
        <v>378.15</v>
      </c>
      <c r="AU17" s="87">
        <v>381.98</v>
      </c>
      <c r="AV17" s="87">
        <v>954.87</v>
      </c>
      <c r="AW17" s="87">
        <v>652.66</v>
      </c>
      <c r="AX17" s="87"/>
      <c r="AY17" s="88">
        <f t="shared" ref="AY17:AY22" si="5">ROUND(SUM(AH17:AX17),5)</f>
        <v>13363.32</v>
      </c>
      <c r="AZ17" s="88">
        <v>4000</v>
      </c>
      <c r="BA17" s="88">
        <v>10000</v>
      </c>
      <c r="BB17" s="89" t="s">
        <v>247</v>
      </c>
    </row>
    <row r="18" spans="1:54" x14ac:dyDescent="0.3">
      <c r="A18" s="50"/>
      <c r="B18" s="50"/>
      <c r="C18" s="50"/>
      <c r="D18" s="50"/>
      <c r="E18" s="50"/>
      <c r="F18" s="50" t="s">
        <v>87</v>
      </c>
      <c r="G18" s="50"/>
      <c r="H18" s="51">
        <v>16526.73</v>
      </c>
      <c r="I18" s="51">
        <v>5579.79</v>
      </c>
      <c r="J18" s="51">
        <v>5481.74</v>
      </c>
      <c r="K18" s="51">
        <v>5047.42</v>
      </c>
      <c r="L18" s="51">
        <v>6660.43</v>
      </c>
      <c r="M18" s="51">
        <v>5928.96</v>
      </c>
      <c r="N18" s="51">
        <v>5063.93</v>
      </c>
      <c r="O18" s="51">
        <v>6238.12</v>
      </c>
      <c r="P18" s="51">
        <v>8630.35</v>
      </c>
      <c r="Q18" s="51">
        <v>3905.15</v>
      </c>
      <c r="R18" s="51">
        <v>4787.07</v>
      </c>
      <c r="S18" s="51">
        <v>-4278.67</v>
      </c>
      <c r="T18" s="51"/>
      <c r="U18" s="51">
        <f t="shared" si="4"/>
        <v>69571.02</v>
      </c>
      <c r="V18" s="67">
        <v>50000</v>
      </c>
      <c r="W18" s="67">
        <v>70000</v>
      </c>
      <c r="X18" s="68" t="s">
        <v>293</v>
      </c>
      <c r="AB18" s="86"/>
      <c r="AC18" s="86"/>
      <c r="AD18" s="86"/>
      <c r="AE18" s="86"/>
      <c r="AF18" s="86" t="s">
        <v>87</v>
      </c>
      <c r="AG18" s="86"/>
      <c r="AH18" s="87"/>
      <c r="AI18" s="87"/>
      <c r="AJ18" s="87"/>
      <c r="AK18" s="87"/>
      <c r="AL18" s="87">
        <v>4709.55</v>
      </c>
      <c r="AM18" s="87">
        <v>9565.7900000000009</v>
      </c>
      <c r="AN18" s="87">
        <v>-941.62</v>
      </c>
      <c r="AO18" s="87">
        <v>8144.95</v>
      </c>
      <c r="AP18" s="87">
        <v>6079.05</v>
      </c>
      <c r="AQ18" s="87">
        <v>4930.87</v>
      </c>
      <c r="AR18" s="87">
        <v>4937.05</v>
      </c>
      <c r="AS18" s="87">
        <v>4807.21</v>
      </c>
      <c r="AT18" s="87">
        <v>4995.72</v>
      </c>
      <c r="AU18" s="87">
        <v>6212.36</v>
      </c>
      <c r="AV18" s="87">
        <v>5047.13</v>
      </c>
      <c r="AW18" s="87">
        <v>5522.27</v>
      </c>
      <c r="AX18" s="87"/>
      <c r="AY18" s="88">
        <f t="shared" si="5"/>
        <v>64010.33</v>
      </c>
      <c r="AZ18" s="88">
        <v>40000</v>
      </c>
      <c r="BA18" s="88">
        <v>50000</v>
      </c>
      <c r="BB18" s="89"/>
    </row>
    <row r="19" spans="1:54" x14ac:dyDescent="0.3">
      <c r="A19" s="50"/>
      <c r="B19" s="50"/>
      <c r="C19" s="50"/>
      <c r="D19" s="50"/>
      <c r="E19" s="50"/>
      <c r="F19" s="50" t="s">
        <v>88</v>
      </c>
      <c r="G19" s="50"/>
      <c r="H19" s="51">
        <v>0</v>
      </c>
      <c r="I19" s="51">
        <v>0</v>
      </c>
      <c r="J19" s="51">
        <v>526.76</v>
      </c>
      <c r="K19" s="51">
        <v>95.47</v>
      </c>
      <c r="L19" s="51">
        <v>0</v>
      </c>
      <c r="M19" s="51">
        <v>432.49</v>
      </c>
      <c r="N19" s="51">
        <v>60.53</v>
      </c>
      <c r="O19" s="51">
        <v>0</v>
      </c>
      <c r="P19" s="51">
        <v>579.15</v>
      </c>
      <c r="Q19" s="51">
        <v>0</v>
      </c>
      <c r="R19" s="51">
        <v>0</v>
      </c>
      <c r="S19" s="51">
        <v>0</v>
      </c>
      <c r="T19" s="51"/>
      <c r="U19" s="51">
        <f t="shared" si="4"/>
        <v>1694.4</v>
      </c>
      <c r="V19" s="67">
        <v>10000</v>
      </c>
      <c r="W19" s="67">
        <v>5000</v>
      </c>
      <c r="AB19" s="86"/>
      <c r="AC19" s="86"/>
      <c r="AD19" s="86"/>
      <c r="AE19" s="86"/>
      <c r="AF19" s="86" t="s">
        <v>88</v>
      </c>
      <c r="AG19" s="86"/>
      <c r="AH19" s="87"/>
      <c r="AI19" s="87"/>
      <c r="AJ19" s="87"/>
      <c r="AK19" s="87"/>
      <c r="AL19" s="87">
        <v>0</v>
      </c>
      <c r="AM19" s="87">
        <v>0</v>
      </c>
      <c r="AN19" s="87">
        <v>2382.91</v>
      </c>
      <c r="AO19" s="87">
        <v>164.98</v>
      </c>
      <c r="AP19" s="87">
        <v>0</v>
      </c>
      <c r="AQ19" s="87">
        <v>1779.4</v>
      </c>
      <c r="AR19" s="87">
        <v>208.6</v>
      </c>
      <c r="AS19" s="87">
        <v>0</v>
      </c>
      <c r="AT19" s="87">
        <v>1194.3699999999999</v>
      </c>
      <c r="AU19" s="87">
        <v>83.37</v>
      </c>
      <c r="AV19" s="87">
        <v>0</v>
      </c>
      <c r="AW19" s="87">
        <v>5126.62</v>
      </c>
      <c r="AX19" s="87"/>
      <c r="AY19" s="88">
        <f t="shared" si="5"/>
        <v>10940.25</v>
      </c>
      <c r="AZ19" s="88">
        <v>13000</v>
      </c>
      <c r="BA19" s="88">
        <v>10000</v>
      </c>
      <c r="BB19" s="89" t="s">
        <v>247</v>
      </c>
    </row>
    <row r="20" spans="1:54" x14ac:dyDescent="0.3">
      <c r="A20" s="50"/>
      <c r="B20" s="50"/>
      <c r="C20" s="50"/>
      <c r="D20" s="50"/>
      <c r="E20" s="50"/>
      <c r="F20" s="50" t="s">
        <v>89</v>
      </c>
      <c r="G20" s="50"/>
      <c r="H20" s="51">
        <v>0</v>
      </c>
      <c r="I20" s="51">
        <v>0</v>
      </c>
      <c r="J20" s="51">
        <v>28.45</v>
      </c>
      <c r="K20" s="51">
        <v>5.08</v>
      </c>
      <c r="L20" s="51">
        <v>0</v>
      </c>
      <c r="M20" s="51">
        <v>23.02</v>
      </c>
      <c r="N20" s="51">
        <v>5.04</v>
      </c>
      <c r="O20" s="51">
        <v>0</v>
      </c>
      <c r="P20" s="51">
        <v>48.23</v>
      </c>
      <c r="Q20" s="51">
        <v>0</v>
      </c>
      <c r="R20" s="51">
        <v>0</v>
      </c>
      <c r="S20" s="51">
        <v>-5.49</v>
      </c>
      <c r="T20" s="51"/>
      <c r="U20" s="51">
        <f t="shared" si="4"/>
        <v>104.33</v>
      </c>
      <c r="V20" s="67">
        <v>1000</v>
      </c>
      <c r="W20" s="67">
        <v>100</v>
      </c>
      <c r="AB20" s="86"/>
      <c r="AC20" s="86"/>
      <c r="AD20" s="86"/>
      <c r="AE20" s="86"/>
      <c r="AF20" s="86" t="s">
        <v>89</v>
      </c>
      <c r="AG20" s="86"/>
      <c r="AH20" s="87"/>
      <c r="AI20" s="87"/>
      <c r="AJ20" s="87"/>
      <c r="AK20" s="87"/>
      <c r="AL20" s="87">
        <v>-854</v>
      </c>
      <c r="AM20" s="87">
        <v>0</v>
      </c>
      <c r="AN20" s="87">
        <v>541.74</v>
      </c>
      <c r="AO20" s="87">
        <v>38.130000000000003</v>
      </c>
      <c r="AP20" s="87">
        <v>0</v>
      </c>
      <c r="AQ20" s="87">
        <v>411.31</v>
      </c>
      <c r="AR20" s="87">
        <v>53.48</v>
      </c>
      <c r="AS20" s="87">
        <v>0</v>
      </c>
      <c r="AT20" s="87">
        <v>306.22000000000003</v>
      </c>
      <c r="AU20" s="87">
        <v>19.61</v>
      </c>
      <c r="AV20" s="87">
        <v>0</v>
      </c>
      <c r="AW20" s="87">
        <v>816.59</v>
      </c>
      <c r="AX20" s="87"/>
      <c r="AY20" s="88">
        <f t="shared" si="5"/>
        <v>1333.08</v>
      </c>
      <c r="AZ20" s="88">
        <v>3000</v>
      </c>
      <c r="BA20" s="88">
        <v>1000</v>
      </c>
      <c r="BB20" s="89" t="s">
        <v>247</v>
      </c>
    </row>
    <row r="21" spans="1:54" ht="15" thickBot="1" x14ac:dyDescent="0.35">
      <c r="A21" s="50"/>
      <c r="B21" s="50"/>
      <c r="C21" s="50"/>
      <c r="D21" s="50"/>
      <c r="E21" s="50"/>
      <c r="F21" s="50" t="s">
        <v>90</v>
      </c>
      <c r="G21" s="50"/>
      <c r="H21" s="52">
        <v>0</v>
      </c>
      <c r="I21" s="52">
        <v>0</v>
      </c>
      <c r="J21" s="52">
        <v>1831.67</v>
      </c>
      <c r="K21" s="52">
        <v>323.87</v>
      </c>
      <c r="L21" s="52">
        <v>0</v>
      </c>
      <c r="M21" s="52">
        <v>1467.17</v>
      </c>
      <c r="N21" s="52">
        <v>200.19</v>
      </c>
      <c r="O21" s="52">
        <v>0</v>
      </c>
      <c r="P21" s="52">
        <v>0</v>
      </c>
      <c r="Q21" s="52">
        <v>0</v>
      </c>
      <c r="R21" s="52">
        <v>0</v>
      </c>
      <c r="S21" s="52">
        <v>2276.58</v>
      </c>
      <c r="T21" s="52"/>
      <c r="U21" s="52">
        <f t="shared" si="4"/>
        <v>6099.48</v>
      </c>
      <c r="V21" s="69">
        <v>20000</v>
      </c>
      <c r="W21" s="69">
        <v>10000</v>
      </c>
      <c r="X21" s="68" t="s">
        <v>291</v>
      </c>
      <c r="AB21" s="86"/>
      <c r="AC21" s="86"/>
      <c r="AD21" s="86"/>
      <c r="AE21" s="86" t="s">
        <v>91</v>
      </c>
      <c r="AF21" s="86" t="s">
        <v>90</v>
      </c>
      <c r="AG21" s="86"/>
      <c r="AH21" s="90"/>
      <c r="AI21" s="90"/>
      <c r="AJ21" s="90"/>
      <c r="AK21" s="90"/>
      <c r="AL21" s="90">
        <v>-126</v>
      </c>
      <c r="AM21" s="90">
        <v>0</v>
      </c>
      <c r="AN21" s="90">
        <v>3663.49</v>
      </c>
      <c r="AO21" s="90">
        <v>240.94</v>
      </c>
      <c r="AP21" s="90">
        <v>0</v>
      </c>
      <c r="AQ21" s="90">
        <v>2598.63</v>
      </c>
      <c r="AR21" s="90">
        <v>304.14999999999998</v>
      </c>
      <c r="AS21" s="90">
        <v>0</v>
      </c>
      <c r="AT21" s="90">
        <v>1741.43</v>
      </c>
      <c r="AU21" s="90">
        <v>99.78</v>
      </c>
      <c r="AV21" s="90">
        <v>0</v>
      </c>
      <c r="AW21" s="90">
        <v>6128.28</v>
      </c>
      <c r="AX21" s="90"/>
      <c r="AY21" s="91">
        <f t="shared" si="5"/>
        <v>14650.7</v>
      </c>
      <c r="AZ21" s="91">
        <v>30000</v>
      </c>
      <c r="BA21" s="91">
        <v>20000</v>
      </c>
      <c r="BB21" s="92" t="s">
        <v>247</v>
      </c>
    </row>
    <row r="22" spans="1:54" x14ac:dyDescent="0.3">
      <c r="A22" s="50"/>
      <c r="B22" s="50"/>
      <c r="C22" s="50"/>
      <c r="D22" s="50"/>
      <c r="E22" s="50" t="s">
        <v>91</v>
      </c>
      <c r="F22" s="50"/>
      <c r="G22" s="50"/>
      <c r="H22" s="51">
        <f t="shared" ref="H22:P22" si="6">ROUND(SUM(H16:H21),5)</f>
        <v>17045.14</v>
      </c>
      <c r="I22" s="51">
        <f t="shared" si="6"/>
        <v>6115.34</v>
      </c>
      <c r="J22" s="51">
        <f t="shared" si="6"/>
        <v>8368.85</v>
      </c>
      <c r="K22" s="51">
        <f t="shared" si="6"/>
        <v>5892.78</v>
      </c>
      <c r="L22" s="51">
        <f t="shared" si="6"/>
        <v>7065.59</v>
      </c>
      <c r="M22" s="51">
        <f t="shared" si="6"/>
        <v>8252.43</v>
      </c>
      <c r="N22" s="51">
        <f t="shared" si="6"/>
        <v>5916.23</v>
      </c>
      <c r="O22" s="51">
        <f t="shared" si="6"/>
        <v>6726.72</v>
      </c>
      <c r="P22" s="51">
        <f t="shared" si="6"/>
        <v>9705.61</v>
      </c>
      <c r="Q22" s="51">
        <f>ROUND(SUM(Q16:Q21),5)</f>
        <v>4543.25</v>
      </c>
      <c r="R22" s="51">
        <f>ROUND(SUM(R16:R21),5)</f>
        <v>5219.43</v>
      </c>
      <c r="S22" s="51">
        <f>ROUND(SUM(S16:S21),5)</f>
        <v>-1575.54</v>
      </c>
      <c r="T22" s="51"/>
      <c r="U22" s="51">
        <f t="shared" si="4"/>
        <v>83275.83</v>
      </c>
      <c r="V22" s="51">
        <f>ROUND(SUM(V16:V21),5)</f>
        <v>91000</v>
      </c>
      <c r="W22" s="51">
        <f>ROUND(SUM(W16:W21),5)</f>
        <v>90100</v>
      </c>
      <c r="AB22" s="86"/>
      <c r="AC22" s="86"/>
      <c r="AD22" s="86"/>
      <c r="AE22" s="86" t="s">
        <v>92</v>
      </c>
      <c r="AF22" s="86"/>
      <c r="AG22" s="86"/>
      <c r="AH22" s="87"/>
      <c r="AI22" s="87"/>
      <c r="AJ22" s="87"/>
      <c r="AK22" s="87"/>
      <c r="AL22" s="87">
        <f t="shared" ref="AL22:AW22" si="7">ROUND(SUM(AL16:AL21),5)</f>
        <v>4333.29</v>
      </c>
      <c r="AM22" s="87">
        <f t="shared" si="7"/>
        <v>10202.26</v>
      </c>
      <c r="AN22" s="87">
        <f t="shared" si="7"/>
        <v>6196.82</v>
      </c>
      <c r="AO22" s="87">
        <f t="shared" si="7"/>
        <v>9101.92</v>
      </c>
      <c r="AP22" s="87">
        <f t="shared" si="7"/>
        <v>6584.08</v>
      </c>
      <c r="AQ22" s="87">
        <f t="shared" si="7"/>
        <v>10172.540000000001</v>
      </c>
      <c r="AR22" s="87">
        <f t="shared" si="7"/>
        <v>12817.65</v>
      </c>
      <c r="AS22" s="87">
        <f t="shared" si="7"/>
        <v>5227.71</v>
      </c>
      <c r="AT22" s="87">
        <f t="shared" si="7"/>
        <v>8615.89</v>
      </c>
      <c r="AU22" s="87">
        <f t="shared" si="7"/>
        <v>6797.1</v>
      </c>
      <c r="AV22" s="87">
        <f t="shared" si="7"/>
        <v>6002</v>
      </c>
      <c r="AW22" s="87">
        <f t="shared" si="7"/>
        <v>18246.419999999998</v>
      </c>
      <c r="AX22" s="87"/>
      <c r="AY22" s="88">
        <f t="shared" si="5"/>
        <v>104297.68</v>
      </c>
      <c r="AZ22" s="88">
        <f>ROUND(SUM(AZ16:AZ21),5)</f>
        <v>90000</v>
      </c>
      <c r="BA22" s="88">
        <f>ROUND(SUM(BA16:BA21),5)</f>
        <v>91000</v>
      </c>
      <c r="BB22" s="89"/>
    </row>
    <row r="23" spans="1:54" x14ac:dyDescent="0.3">
      <c r="A23" s="50"/>
      <c r="B23" s="50"/>
      <c r="C23" s="50"/>
      <c r="D23" s="50"/>
      <c r="E23" s="50" t="s">
        <v>92</v>
      </c>
      <c r="F23" s="50"/>
      <c r="G23" s="50"/>
      <c r="H23" s="51"/>
      <c r="I23" s="51"/>
      <c r="J23" s="51"/>
      <c r="K23" s="51"/>
      <c r="L23" s="51"/>
      <c r="M23" s="51"/>
      <c r="N23" s="51"/>
      <c r="O23" s="51"/>
      <c r="P23" s="51"/>
      <c r="Q23" s="51"/>
      <c r="R23" s="51"/>
      <c r="S23" s="51"/>
      <c r="T23" s="51"/>
      <c r="U23" s="51"/>
      <c r="V23" s="51"/>
      <c r="W23" s="51"/>
      <c r="AB23" s="86"/>
      <c r="AC23" s="86"/>
      <c r="AD23" s="86"/>
      <c r="AE23" s="86"/>
      <c r="AF23" s="86"/>
      <c r="AG23" s="86"/>
      <c r="AH23" s="87"/>
      <c r="AI23" s="87"/>
      <c r="AJ23" s="87"/>
      <c r="AK23" s="87"/>
      <c r="AL23" s="87"/>
      <c r="AM23" s="87"/>
      <c r="AN23" s="87"/>
      <c r="AO23" s="87"/>
      <c r="AP23" s="87"/>
      <c r="AQ23" s="87"/>
      <c r="AR23" s="87"/>
      <c r="AS23" s="87"/>
      <c r="AT23" s="87"/>
      <c r="AU23" s="87"/>
      <c r="AV23" s="87"/>
      <c r="AW23" s="87"/>
      <c r="AX23" s="87"/>
      <c r="AY23" s="88"/>
      <c r="AZ23" s="88"/>
      <c r="BA23" s="88"/>
      <c r="BB23" s="89"/>
    </row>
    <row r="24" spans="1:54" x14ac:dyDescent="0.3">
      <c r="A24" s="50"/>
      <c r="B24" s="50"/>
      <c r="C24" s="50"/>
      <c r="D24" s="50"/>
      <c r="E24" s="50"/>
      <c r="F24" s="50" t="s">
        <v>93</v>
      </c>
      <c r="G24" s="50"/>
      <c r="H24" s="51">
        <v>13100</v>
      </c>
      <c r="I24" s="51">
        <v>5230</v>
      </c>
      <c r="J24" s="51">
        <v>30592</v>
      </c>
      <c r="K24" s="51">
        <v>22305</v>
      </c>
      <c r="L24" s="51">
        <v>6000</v>
      </c>
      <c r="M24" s="51">
        <v>8400</v>
      </c>
      <c r="N24" s="51">
        <v>14960</v>
      </c>
      <c r="O24" s="51">
        <v>23490</v>
      </c>
      <c r="P24" s="51">
        <v>22920</v>
      </c>
      <c r="Q24" s="51">
        <v>9150</v>
      </c>
      <c r="R24" s="51">
        <v>7500</v>
      </c>
      <c r="S24" s="51">
        <v>12370.66</v>
      </c>
      <c r="T24" s="51"/>
      <c r="U24" s="51">
        <f t="shared" ref="U24:U35" si="8">ROUND(SUM(H24:T24),5)</f>
        <v>176017.66</v>
      </c>
      <c r="V24" s="67">
        <v>165000</v>
      </c>
      <c r="W24" s="67">
        <v>140000</v>
      </c>
      <c r="AB24" s="86"/>
      <c r="AC24" s="86"/>
      <c r="AD24" s="86"/>
      <c r="AE24" s="86"/>
      <c r="AF24" s="86" t="s">
        <v>93</v>
      </c>
      <c r="AG24" s="86"/>
      <c r="AH24" s="87"/>
      <c r="AI24" s="87"/>
      <c r="AJ24" s="87"/>
      <c r="AK24" s="87"/>
      <c r="AL24" s="87">
        <v>8225</v>
      </c>
      <c r="AM24" s="87">
        <v>10866.67</v>
      </c>
      <c r="AN24" s="87">
        <v>9500</v>
      </c>
      <c r="AO24" s="87">
        <v>25066.67</v>
      </c>
      <c r="AP24" s="87">
        <v>7800</v>
      </c>
      <c r="AQ24" s="87">
        <v>20950</v>
      </c>
      <c r="AR24" s="87">
        <v>19000</v>
      </c>
      <c r="AS24" s="87">
        <v>24450</v>
      </c>
      <c r="AT24" s="87">
        <v>22500</v>
      </c>
      <c r="AU24" s="87">
        <v>12325</v>
      </c>
      <c r="AV24" s="87">
        <v>5000</v>
      </c>
      <c r="AW24" s="87">
        <v>10643</v>
      </c>
      <c r="AX24" s="87"/>
      <c r="AY24" s="88">
        <f t="shared" ref="AY24:AY35" si="9">ROUND(SUM(AH24:AX24),5)</f>
        <v>176326.34</v>
      </c>
      <c r="AZ24" s="88">
        <v>120000</v>
      </c>
      <c r="BA24" s="88">
        <v>165000</v>
      </c>
      <c r="BB24" s="89" t="s">
        <v>247</v>
      </c>
    </row>
    <row r="25" spans="1:54" x14ac:dyDescent="0.3">
      <c r="A25" s="50"/>
      <c r="B25" s="50"/>
      <c r="C25" s="50"/>
      <c r="D25" s="50"/>
      <c r="E25" s="50"/>
      <c r="F25" s="50" t="s">
        <v>94</v>
      </c>
      <c r="G25" s="50"/>
      <c r="H25" s="51">
        <v>3300</v>
      </c>
      <c r="I25" s="51">
        <v>500</v>
      </c>
      <c r="J25" s="51">
        <v>3000</v>
      </c>
      <c r="K25" s="51">
        <v>1250</v>
      </c>
      <c r="L25" s="51">
        <v>1250</v>
      </c>
      <c r="M25" s="51">
        <v>1500</v>
      </c>
      <c r="N25" s="51">
        <v>1700</v>
      </c>
      <c r="O25" s="51">
        <v>1750</v>
      </c>
      <c r="P25" s="51">
        <v>1860</v>
      </c>
      <c r="Q25" s="51">
        <v>1800</v>
      </c>
      <c r="R25" s="51">
        <v>1500</v>
      </c>
      <c r="S25" s="51">
        <v>1650</v>
      </c>
      <c r="T25" s="51"/>
      <c r="U25" s="51">
        <f t="shared" si="8"/>
        <v>21060</v>
      </c>
      <c r="V25" s="67">
        <v>18000</v>
      </c>
      <c r="W25" s="67">
        <v>18000</v>
      </c>
      <c r="AB25" s="86"/>
      <c r="AC25" s="86"/>
      <c r="AD25" s="86"/>
      <c r="AE25" s="86"/>
      <c r="AF25" s="86" t="s">
        <v>94</v>
      </c>
      <c r="AG25" s="86"/>
      <c r="AH25" s="87"/>
      <c r="AI25" s="87"/>
      <c r="AJ25" s="87"/>
      <c r="AK25" s="87"/>
      <c r="AL25" s="87">
        <v>1200</v>
      </c>
      <c r="AM25" s="87">
        <v>1410</v>
      </c>
      <c r="AN25" s="87">
        <v>1250</v>
      </c>
      <c r="AO25" s="87">
        <v>2500</v>
      </c>
      <c r="AP25" s="87">
        <v>500</v>
      </c>
      <c r="AQ25" s="87">
        <v>2000</v>
      </c>
      <c r="AR25" s="87">
        <v>1250</v>
      </c>
      <c r="AS25" s="87">
        <v>1910</v>
      </c>
      <c r="AT25" s="87">
        <v>2500</v>
      </c>
      <c r="AU25" s="87">
        <v>1450</v>
      </c>
      <c r="AV25" s="87">
        <v>1250</v>
      </c>
      <c r="AW25" s="87">
        <v>750</v>
      </c>
      <c r="AX25" s="87"/>
      <c r="AY25" s="88">
        <f t="shared" si="9"/>
        <v>17970</v>
      </c>
      <c r="AZ25" s="88">
        <v>12000</v>
      </c>
      <c r="BA25" s="88">
        <v>18000</v>
      </c>
      <c r="BB25" s="89"/>
    </row>
    <row r="26" spans="1:54" x14ac:dyDescent="0.3">
      <c r="A26" s="50"/>
      <c r="B26" s="50"/>
      <c r="C26" s="50"/>
      <c r="D26" s="50"/>
      <c r="E26" s="50"/>
      <c r="F26" s="50" t="s">
        <v>230</v>
      </c>
      <c r="G26" s="50"/>
      <c r="H26" s="51">
        <v>0</v>
      </c>
      <c r="I26" s="51">
        <v>230</v>
      </c>
      <c r="J26" s="51">
        <v>892</v>
      </c>
      <c r="K26" s="51">
        <v>690</v>
      </c>
      <c r="L26" s="51">
        <v>0</v>
      </c>
      <c r="M26" s="51">
        <v>460</v>
      </c>
      <c r="N26" s="51">
        <v>460</v>
      </c>
      <c r="O26" s="51">
        <v>690</v>
      </c>
      <c r="P26" s="51">
        <v>920</v>
      </c>
      <c r="Q26" s="51">
        <v>230</v>
      </c>
      <c r="R26" s="51">
        <v>0</v>
      </c>
      <c r="S26" s="51">
        <v>455</v>
      </c>
      <c r="T26" s="51"/>
      <c r="U26" s="51">
        <f t="shared" si="8"/>
        <v>5027</v>
      </c>
      <c r="V26" s="67">
        <v>3000</v>
      </c>
      <c r="W26" s="67">
        <v>2500</v>
      </c>
      <c r="AB26" s="86"/>
      <c r="AC26" s="86"/>
      <c r="AD26" s="86"/>
      <c r="AE26" s="86"/>
      <c r="AF26" s="86" t="s">
        <v>230</v>
      </c>
      <c r="AG26" s="86"/>
      <c r="AH26" s="87"/>
      <c r="AI26" s="87"/>
      <c r="AJ26" s="87"/>
      <c r="AK26" s="87"/>
      <c r="AL26" s="87">
        <v>0</v>
      </c>
      <c r="AM26" s="87">
        <v>0</v>
      </c>
      <c r="AN26" s="87">
        <v>0</v>
      </c>
      <c r="AO26" s="87">
        <v>0</v>
      </c>
      <c r="AP26" s="87">
        <v>0</v>
      </c>
      <c r="AQ26" s="87">
        <v>450</v>
      </c>
      <c r="AR26" s="87">
        <v>0</v>
      </c>
      <c r="AS26" s="87">
        <v>450</v>
      </c>
      <c r="AT26" s="87">
        <v>0</v>
      </c>
      <c r="AU26" s="87">
        <v>225</v>
      </c>
      <c r="AV26" s="87">
        <v>0</v>
      </c>
      <c r="AW26" s="87">
        <v>0</v>
      </c>
      <c r="AX26" s="87"/>
      <c r="AY26" s="88">
        <f t="shared" si="9"/>
        <v>1125</v>
      </c>
      <c r="AZ26" s="88">
        <v>0</v>
      </c>
      <c r="BA26" s="88">
        <v>3000</v>
      </c>
      <c r="BB26" s="89"/>
    </row>
    <row r="27" spans="1:54" x14ac:dyDescent="0.3">
      <c r="A27" s="50"/>
      <c r="B27" s="50"/>
      <c r="C27" s="50"/>
      <c r="D27" s="50"/>
      <c r="E27" s="50"/>
      <c r="F27" s="50" t="s">
        <v>95</v>
      </c>
      <c r="G27" s="50"/>
      <c r="H27" s="51">
        <v>3750</v>
      </c>
      <c r="I27" s="51">
        <v>1950</v>
      </c>
      <c r="J27" s="51">
        <v>8750</v>
      </c>
      <c r="K27" s="51">
        <v>4300</v>
      </c>
      <c r="L27" s="51">
        <v>1800</v>
      </c>
      <c r="M27" s="51">
        <v>4700</v>
      </c>
      <c r="N27" s="51">
        <v>5300</v>
      </c>
      <c r="O27" s="51">
        <v>3600</v>
      </c>
      <c r="P27" s="51">
        <v>7600</v>
      </c>
      <c r="Q27" s="51">
        <v>6250</v>
      </c>
      <c r="R27" s="51">
        <v>2050</v>
      </c>
      <c r="S27" s="51">
        <v>6100</v>
      </c>
      <c r="T27" s="51"/>
      <c r="U27" s="51">
        <f t="shared" si="8"/>
        <v>56150</v>
      </c>
      <c r="V27" s="67">
        <v>47000</v>
      </c>
      <c r="W27" s="67">
        <v>30000</v>
      </c>
      <c r="AB27" s="86"/>
      <c r="AC27" s="86"/>
      <c r="AD27" s="86"/>
      <c r="AE27" s="86"/>
      <c r="AF27" s="86" t="s">
        <v>95</v>
      </c>
      <c r="AG27" s="86"/>
      <c r="AH27" s="87"/>
      <c r="AI27" s="87"/>
      <c r="AJ27" s="87"/>
      <c r="AK27" s="87"/>
      <c r="AL27" s="87">
        <v>3650</v>
      </c>
      <c r="AM27" s="87">
        <v>3250</v>
      </c>
      <c r="AN27" s="87">
        <v>2800</v>
      </c>
      <c r="AO27" s="87">
        <v>6100</v>
      </c>
      <c r="AP27" s="87">
        <v>100</v>
      </c>
      <c r="AQ27" s="87">
        <v>4900</v>
      </c>
      <c r="AR27" s="87">
        <v>3500</v>
      </c>
      <c r="AS27" s="87">
        <v>7650</v>
      </c>
      <c r="AT27" s="87">
        <v>8000</v>
      </c>
      <c r="AU27" s="87">
        <v>3700</v>
      </c>
      <c r="AV27" s="87">
        <v>5150</v>
      </c>
      <c r="AW27" s="87">
        <v>2550</v>
      </c>
      <c r="AX27" s="87"/>
      <c r="AY27" s="88">
        <f t="shared" si="9"/>
        <v>51350</v>
      </c>
      <c r="AZ27" s="88">
        <v>30000</v>
      </c>
      <c r="BA27" s="88">
        <v>47000</v>
      </c>
      <c r="BB27" s="89"/>
    </row>
    <row r="28" spans="1:54" x14ac:dyDescent="0.3">
      <c r="A28" s="50"/>
      <c r="B28" s="50"/>
      <c r="C28" s="50"/>
      <c r="D28" s="50"/>
      <c r="E28" s="50"/>
      <c r="F28" s="50" t="s">
        <v>96</v>
      </c>
      <c r="G28" s="50"/>
      <c r="H28" s="51">
        <v>20500</v>
      </c>
      <c r="I28" s="51">
        <v>3770</v>
      </c>
      <c r="J28" s="51">
        <v>21408</v>
      </c>
      <c r="K28" s="51">
        <v>-505</v>
      </c>
      <c r="L28" s="51">
        <v>10500</v>
      </c>
      <c r="M28" s="51">
        <v>6000</v>
      </c>
      <c r="N28" s="51">
        <v>10690</v>
      </c>
      <c r="O28" s="51">
        <v>-990</v>
      </c>
      <c r="P28" s="51">
        <v>13230</v>
      </c>
      <c r="Q28" s="51">
        <v>4000</v>
      </c>
      <c r="R28" s="51">
        <v>5800</v>
      </c>
      <c r="S28" s="51">
        <v>9282</v>
      </c>
      <c r="T28" s="51"/>
      <c r="U28" s="51">
        <f t="shared" si="8"/>
        <v>103685</v>
      </c>
      <c r="V28" s="67">
        <v>70000</v>
      </c>
      <c r="W28" s="67">
        <v>55000</v>
      </c>
      <c r="AB28" s="86"/>
      <c r="AC28" s="86"/>
      <c r="AD28" s="86"/>
      <c r="AE28" s="86"/>
      <c r="AF28" s="86" t="s">
        <v>96</v>
      </c>
      <c r="AG28" s="86"/>
      <c r="AH28" s="87"/>
      <c r="AI28" s="87"/>
      <c r="AJ28" s="87"/>
      <c r="AK28" s="87"/>
      <c r="AL28" s="87">
        <v>2500</v>
      </c>
      <c r="AM28" s="87">
        <v>6083.33</v>
      </c>
      <c r="AN28" s="87">
        <v>16450</v>
      </c>
      <c r="AO28" s="87">
        <v>17583.330000000002</v>
      </c>
      <c r="AP28" s="87">
        <v>0</v>
      </c>
      <c r="AQ28" s="87">
        <v>3050</v>
      </c>
      <c r="AR28" s="87">
        <v>4000</v>
      </c>
      <c r="AS28" s="87">
        <v>9050</v>
      </c>
      <c r="AT28" s="87">
        <v>16650</v>
      </c>
      <c r="AU28" s="87">
        <v>2675</v>
      </c>
      <c r="AV28" s="87">
        <v>1725</v>
      </c>
      <c r="AW28" s="87">
        <v>5357</v>
      </c>
      <c r="AX28" s="87"/>
      <c r="AY28" s="88">
        <f t="shared" si="9"/>
        <v>85123.66</v>
      </c>
      <c r="AZ28" s="88">
        <v>67000</v>
      </c>
      <c r="BA28" s="88">
        <v>70000</v>
      </c>
      <c r="BB28" s="89"/>
    </row>
    <row r="29" spans="1:54" x14ac:dyDescent="0.3">
      <c r="A29" s="50"/>
      <c r="B29" s="50"/>
      <c r="C29" s="50"/>
      <c r="D29" s="50"/>
      <c r="E29" s="50"/>
      <c r="F29" s="50" t="s">
        <v>97</v>
      </c>
      <c r="G29" s="50"/>
      <c r="H29" s="51">
        <v>1100</v>
      </c>
      <c r="I29" s="51">
        <v>0</v>
      </c>
      <c r="J29" s="51">
        <v>4300</v>
      </c>
      <c r="K29" s="51">
        <v>7900</v>
      </c>
      <c r="L29" s="51">
        <v>0</v>
      </c>
      <c r="M29" s="51">
        <v>5400</v>
      </c>
      <c r="N29" s="51">
        <v>3600</v>
      </c>
      <c r="O29" s="51">
        <v>5200</v>
      </c>
      <c r="P29" s="51">
        <v>3600</v>
      </c>
      <c r="Q29" s="51">
        <v>2900</v>
      </c>
      <c r="R29" s="51">
        <v>0</v>
      </c>
      <c r="S29" s="51">
        <v>2700</v>
      </c>
      <c r="T29" s="51"/>
      <c r="U29" s="51">
        <f t="shared" si="8"/>
        <v>36700</v>
      </c>
      <c r="V29" s="67">
        <v>17000</v>
      </c>
      <c r="W29" s="67">
        <v>15000</v>
      </c>
      <c r="AB29" s="86"/>
      <c r="AC29" s="86"/>
      <c r="AD29" s="86"/>
      <c r="AE29" s="86"/>
      <c r="AF29" s="86" t="s">
        <v>97</v>
      </c>
      <c r="AG29" s="86"/>
      <c r="AH29" s="87"/>
      <c r="AI29" s="87"/>
      <c r="AJ29" s="87"/>
      <c r="AK29" s="87"/>
      <c r="AL29" s="87">
        <v>1500</v>
      </c>
      <c r="AM29" s="87">
        <v>0</v>
      </c>
      <c r="AN29" s="87">
        <v>1600</v>
      </c>
      <c r="AO29" s="87">
        <v>0</v>
      </c>
      <c r="AP29" s="87">
        <v>3000</v>
      </c>
      <c r="AQ29" s="87">
        <v>3100</v>
      </c>
      <c r="AR29" s="87">
        <v>0</v>
      </c>
      <c r="AS29" s="87">
        <v>3300</v>
      </c>
      <c r="AT29" s="87">
        <v>1500</v>
      </c>
      <c r="AU29" s="87">
        <v>3100</v>
      </c>
      <c r="AV29" s="87">
        <v>0</v>
      </c>
      <c r="AW29" s="87">
        <v>1500</v>
      </c>
      <c r="AX29" s="87"/>
      <c r="AY29" s="88">
        <f t="shared" si="9"/>
        <v>18600</v>
      </c>
      <c r="AZ29" s="88">
        <v>27000</v>
      </c>
      <c r="BA29" s="88">
        <v>17000</v>
      </c>
      <c r="BB29" s="89"/>
    </row>
    <row r="30" spans="1:54" x14ac:dyDescent="0.3">
      <c r="A30" s="50"/>
      <c r="B30" s="50"/>
      <c r="C30" s="50"/>
      <c r="D30" s="50"/>
      <c r="E30" s="50"/>
      <c r="F30" s="50" t="s">
        <v>198</v>
      </c>
      <c r="G30" s="50"/>
      <c r="H30" s="51">
        <v>0</v>
      </c>
      <c r="I30" s="51">
        <v>0</v>
      </c>
      <c r="J30" s="51">
        <v>0</v>
      </c>
      <c r="K30" s="51">
        <v>0</v>
      </c>
      <c r="L30" s="51">
        <v>0</v>
      </c>
      <c r="M30" s="51">
        <v>0</v>
      </c>
      <c r="N30" s="51">
        <v>0</v>
      </c>
      <c r="O30" s="51">
        <v>0</v>
      </c>
      <c r="P30" s="51">
        <v>0</v>
      </c>
      <c r="Q30" s="51">
        <v>300</v>
      </c>
      <c r="R30" s="51">
        <v>0</v>
      </c>
      <c r="S30" s="51">
        <v>0</v>
      </c>
      <c r="T30" s="51"/>
      <c r="U30" s="51">
        <f t="shared" si="8"/>
        <v>300</v>
      </c>
      <c r="V30" s="67">
        <v>300</v>
      </c>
      <c r="W30" s="67">
        <v>300</v>
      </c>
      <c r="AB30" s="86"/>
      <c r="AC30" s="86"/>
      <c r="AD30" s="86"/>
      <c r="AE30" s="86"/>
      <c r="AF30" s="86" t="s">
        <v>198</v>
      </c>
      <c r="AG30" s="86"/>
      <c r="AH30" s="87"/>
      <c r="AI30" s="87"/>
      <c r="AJ30" s="87"/>
      <c r="AK30" s="87"/>
      <c r="AL30" s="87">
        <v>0</v>
      </c>
      <c r="AM30" s="87">
        <v>0</v>
      </c>
      <c r="AN30" s="87">
        <v>0</v>
      </c>
      <c r="AO30" s="87">
        <v>0</v>
      </c>
      <c r="AP30" s="87">
        <v>300</v>
      </c>
      <c r="AQ30" s="87">
        <v>0</v>
      </c>
      <c r="AR30" s="87">
        <v>0</v>
      </c>
      <c r="AS30" s="87">
        <v>0</v>
      </c>
      <c r="AT30" s="87">
        <v>0</v>
      </c>
      <c r="AU30" s="87">
        <v>0</v>
      </c>
      <c r="AV30" s="87">
        <v>0</v>
      </c>
      <c r="AW30" s="87">
        <v>0</v>
      </c>
      <c r="AX30" s="87"/>
      <c r="AY30" s="88">
        <f t="shared" si="9"/>
        <v>300</v>
      </c>
      <c r="AZ30" s="88">
        <v>300</v>
      </c>
      <c r="BA30" s="88">
        <v>300</v>
      </c>
      <c r="BB30" s="89"/>
    </row>
    <row r="31" spans="1:54" ht="13.8" customHeight="1" x14ac:dyDescent="0.3">
      <c r="A31" s="50"/>
      <c r="B31" s="50"/>
      <c r="C31" s="50"/>
      <c r="D31" s="50"/>
      <c r="E31" s="50"/>
      <c r="F31" s="50" t="s">
        <v>231</v>
      </c>
      <c r="G31" s="50"/>
      <c r="H31" s="51">
        <v>1000</v>
      </c>
      <c r="I31" s="51">
        <v>500</v>
      </c>
      <c r="J31" s="51">
        <v>6500</v>
      </c>
      <c r="K31" s="51">
        <v>3000</v>
      </c>
      <c r="L31" s="51">
        <v>1000</v>
      </c>
      <c r="M31" s="51">
        <v>3000</v>
      </c>
      <c r="N31" s="51">
        <v>3500</v>
      </c>
      <c r="O31" s="51">
        <v>4000</v>
      </c>
      <c r="P31" s="51">
        <v>5000</v>
      </c>
      <c r="Q31" s="51">
        <v>4000</v>
      </c>
      <c r="R31" s="51">
        <v>0</v>
      </c>
      <c r="S31" s="51">
        <v>500</v>
      </c>
      <c r="T31" s="51"/>
      <c r="U31" s="51">
        <f t="shared" si="8"/>
        <v>32000</v>
      </c>
      <c r="V31" s="67">
        <v>6500</v>
      </c>
      <c r="W31" s="67">
        <v>7000</v>
      </c>
      <c r="AB31" s="86"/>
      <c r="AC31" s="86"/>
      <c r="AD31" s="86"/>
      <c r="AE31" s="86"/>
      <c r="AF31" s="86" t="s">
        <v>231</v>
      </c>
      <c r="AG31" s="86"/>
      <c r="AH31" s="87"/>
      <c r="AI31" s="87"/>
      <c r="AJ31" s="87"/>
      <c r="AK31" s="87"/>
      <c r="AL31" s="87">
        <v>0</v>
      </c>
      <c r="AM31" s="87">
        <v>0</v>
      </c>
      <c r="AN31" s="87">
        <v>0</v>
      </c>
      <c r="AO31" s="87">
        <v>-500</v>
      </c>
      <c r="AP31" s="87">
        <v>500</v>
      </c>
      <c r="AQ31" s="87">
        <v>2000</v>
      </c>
      <c r="AR31" s="87">
        <v>1500</v>
      </c>
      <c r="AS31" s="87">
        <v>0</v>
      </c>
      <c r="AT31" s="87">
        <v>0</v>
      </c>
      <c r="AU31" s="87">
        <v>0</v>
      </c>
      <c r="AV31" s="87">
        <v>0</v>
      </c>
      <c r="AW31" s="87">
        <v>0</v>
      </c>
      <c r="AX31" s="87"/>
      <c r="AY31" s="88">
        <f t="shared" si="9"/>
        <v>3500</v>
      </c>
      <c r="AZ31" s="88">
        <v>0</v>
      </c>
      <c r="BA31" s="88">
        <v>6500</v>
      </c>
      <c r="BB31" s="89" t="s">
        <v>257</v>
      </c>
    </row>
    <row r="32" spans="1:54" x14ac:dyDescent="0.3">
      <c r="A32" s="50"/>
      <c r="B32" s="50"/>
      <c r="C32" s="50"/>
      <c r="D32" s="50"/>
      <c r="E32" s="50"/>
      <c r="F32" s="50" t="s">
        <v>98</v>
      </c>
      <c r="G32" s="50"/>
      <c r="H32" s="51">
        <v>1480</v>
      </c>
      <c r="I32" s="51">
        <v>980</v>
      </c>
      <c r="J32" s="51">
        <v>2360</v>
      </c>
      <c r="K32" s="51">
        <v>1965</v>
      </c>
      <c r="L32" s="51">
        <v>375</v>
      </c>
      <c r="M32" s="51">
        <v>2855</v>
      </c>
      <c r="N32" s="51">
        <v>1860</v>
      </c>
      <c r="O32" s="51">
        <v>880</v>
      </c>
      <c r="P32" s="51">
        <v>4003</v>
      </c>
      <c r="Q32" s="51">
        <v>2025</v>
      </c>
      <c r="R32" s="51">
        <v>400</v>
      </c>
      <c r="S32" s="51">
        <v>1680</v>
      </c>
      <c r="T32" s="51"/>
      <c r="U32" s="51">
        <f t="shared" si="8"/>
        <v>20863</v>
      </c>
      <c r="V32" s="67">
        <v>16000</v>
      </c>
      <c r="W32" s="67">
        <v>16000</v>
      </c>
      <c r="AB32" s="86"/>
      <c r="AC32" s="86"/>
      <c r="AD32" s="86"/>
      <c r="AE32" s="86"/>
      <c r="AF32" s="86" t="s">
        <v>98</v>
      </c>
      <c r="AG32" s="86"/>
      <c r="AH32" s="87"/>
      <c r="AI32" s="87"/>
      <c r="AJ32" s="87"/>
      <c r="AK32" s="87"/>
      <c r="AL32" s="87">
        <v>1750</v>
      </c>
      <c r="AM32" s="87">
        <v>950</v>
      </c>
      <c r="AN32" s="87">
        <v>785</v>
      </c>
      <c r="AO32" s="87">
        <v>1550</v>
      </c>
      <c r="AP32" s="87">
        <v>500</v>
      </c>
      <c r="AQ32" s="87">
        <v>1320</v>
      </c>
      <c r="AR32" s="87">
        <v>1330</v>
      </c>
      <c r="AS32" s="87">
        <v>4113.1499999999996</v>
      </c>
      <c r="AT32" s="87">
        <v>2765</v>
      </c>
      <c r="AU32" s="87">
        <v>985</v>
      </c>
      <c r="AV32" s="87">
        <v>3010</v>
      </c>
      <c r="AW32" s="87">
        <v>300</v>
      </c>
      <c r="AX32" s="87"/>
      <c r="AY32" s="88">
        <f t="shared" si="9"/>
        <v>19358.150000000001</v>
      </c>
      <c r="AZ32" s="88">
        <v>12000</v>
      </c>
      <c r="BA32" s="88">
        <v>16000</v>
      </c>
      <c r="BB32" s="89"/>
    </row>
    <row r="33" spans="1:54" ht="15" thickBot="1" x14ac:dyDescent="0.35">
      <c r="A33" s="50"/>
      <c r="B33" s="50"/>
      <c r="C33" s="50"/>
      <c r="D33" s="50"/>
      <c r="E33" s="50"/>
      <c r="F33" s="50" t="s">
        <v>99</v>
      </c>
      <c r="G33" s="50"/>
      <c r="H33" s="51">
        <v>0</v>
      </c>
      <c r="I33" s="51">
        <v>0</v>
      </c>
      <c r="J33" s="51">
        <v>88.5</v>
      </c>
      <c r="K33" s="51">
        <v>15</v>
      </c>
      <c r="L33" s="51">
        <v>0</v>
      </c>
      <c r="M33" s="51">
        <v>0</v>
      </c>
      <c r="N33" s="51">
        <v>0</v>
      </c>
      <c r="O33" s="51">
        <v>0</v>
      </c>
      <c r="P33" s="51">
        <v>0</v>
      </c>
      <c r="Q33" s="51">
        <v>0</v>
      </c>
      <c r="R33" s="51">
        <v>0</v>
      </c>
      <c r="S33" s="51">
        <v>0</v>
      </c>
      <c r="T33" s="51"/>
      <c r="U33" s="51">
        <f t="shared" si="8"/>
        <v>103.5</v>
      </c>
      <c r="V33" s="67">
        <v>400</v>
      </c>
      <c r="W33" s="67">
        <v>400</v>
      </c>
      <c r="AB33" s="86"/>
      <c r="AC33" s="86"/>
      <c r="AD33" s="86"/>
      <c r="AE33" s="86" t="s">
        <v>100</v>
      </c>
      <c r="AF33" s="86" t="s">
        <v>99</v>
      </c>
      <c r="AG33" s="86"/>
      <c r="AH33" s="87"/>
      <c r="AI33" s="87"/>
      <c r="AJ33" s="87"/>
      <c r="AK33" s="87"/>
      <c r="AL33" s="87">
        <v>0</v>
      </c>
      <c r="AM33" s="87">
        <v>0</v>
      </c>
      <c r="AN33" s="87">
        <v>0</v>
      </c>
      <c r="AO33" s="87">
        <v>0</v>
      </c>
      <c r="AP33" s="87">
        <v>0</v>
      </c>
      <c r="AQ33" s="87">
        <v>0</v>
      </c>
      <c r="AR33" s="87">
        <v>0</v>
      </c>
      <c r="AS33" s="87">
        <v>0</v>
      </c>
      <c r="AT33" s="87">
        <v>0</v>
      </c>
      <c r="AU33" s="87">
        <v>0</v>
      </c>
      <c r="AV33" s="87">
        <v>25</v>
      </c>
      <c r="AW33" s="87">
        <v>145.41999999999999</v>
      </c>
      <c r="AX33" s="87"/>
      <c r="AY33" s="88">
        <f t="shared" si="9"/>
        <v>170.42</v>
      </c>
      <c r="AZ33" s="88">
        <v>500</v>
      </c>
      <c r="BA33" s="88">
        <v>400</v>
      </c>
      <c r="BB33" s="89"/>
    </row>
    <row r="34" spans="1:54" ht="15" thickBot="1" x14ac:dyDescent="0.35">
      <c r="A34" s="50"/>
      <c r="B34" s="50"/>
      <c r="C34" s="50"/>
      <c r="D34" s="50"/>
      <c r="E34" s="50" t="s">
        <v>100</v>
      </c>
      <c r="F34" s="50"/>
      <c r="G34" s="50"/>
      <c r="H34" s="53">
        <f t="shared" ref="H34:P34" si="10">ROUND(SUM(H23:H33),5)</f>
        <v>44230</v>
      </c>
      <c r="I34" s="53">
        <f t="shared" si="10"/>
        <v>13160</v>
      </c>
      <c r="J34" s="53">
        <f t="shared" si="10"/>
        <v>77890.5</v>
      </c>
      <c r="K34" s="53">
        <f t="shared" si="10"/>
        <v>40920</v>
      </c>
      <c r="L34" s="53">
        <f t="shared" si="10"/>
        <v>20925</v>
      </c>
      <c r="M34" s="53">
        <f t="shared" si="10"/>
        <v>32315</v>
      </c>
      <c r="N34" s="53">
        <f t="shared" si="10"/>
        <v>42070</v>
      </c>
      <c r="O34" s="53">
        <f t="shared" si="10"/>
        <v>38620</v>
      </c>
      <c r="P34" s="53">
        <f t="shared" si="10"/>
        <v>59133</v>
      </c>
      <c r="Q34" s="53">
        <f>ROUND(SUM(Q23:Q33),5)</f>
        <v>30655</v>
      </c>
      <c r="R34" s="53">
        <f>ROUND(SUM(R23:R33),5)</f>
        <v>17250</v>
      </c>
      <c r="S34" s="53">
        <f>ROUND(SUM(S23:S33),5)</f>
        <v>34737.660000000003</v>
      </c>
      <c r="T34" s="53"/>
      <c r="U34" s="53">
        <f t="shared" si="8"/>
        <v>451906.16</v>
      </c>
      <c r="V34" s="53">
        <f>ROUND(SUM(V23:V33),5)</f>
        <v>343200</v>
      </c>
      <c r="W34" s="53">
        <f>ROUND(SUM(W23:W33),5)</f>
        <v>284200</v>
      </c>
      <c r="AB34" s="86"/>
      <c r="AC34" s="86"/>
      <c r="AD34" s="86" t="s">
        <v>3</v>
      </c>
      <c r="AE34" s="86"/>
      <c r="AF34" s="86"/>
      <c r="AG34" s="86"/>
      <c r="AH34" s="93"/>
      <c r="AI34" s="93"/>
      <c r="AJ34" s="93"/>
      <c r="AK34" s="93"/>
      <c r="AL34" s="93">
        <f t="shared" ref="AL34:AW34" si="11">ROUND(SUM(AL23:AL33),5)</f>
        <v>18825</v>
      </c>
      <c r="AM34" s="93">
        <f t="shared" si="11"/>
        <v>22560</v>
      </c>
      <c r="AN34" s="93">
        <f t="shared" si="11"/>
        <v>32385</v>
      </c>
      <c r="AO34" s="93">
        <f t="shared" si="11"/>
        <v>52300</v>
      </c>
      <c r="AP34" s="93">
        <f t="shared" si="11"/>
        <v>12700</v>
      </c>
      <c r="AQ34" s="93">
        <f t="shared" si="11"/>
        <v>37770</v>
      </c>
      <c r="AR34" s="93">
        <f t="shared" si="11"/>
        <v>30580</v>
      </c>
      <c r="AS34" s="93">
        <f t="shared" si="11"/>
        <v>50923.15</v>
      </c>
      <c r="AT34" s="93">
        <f t="shared" si="11"/>
        <v>53915</v>
      </c>
      <c r="AU34" s="93">
        <f t="shared" si="11"/>
        <v>24460</v>
      </c>
      <c r="AV34" s="93">
        <f t="shared" si="11"/>
        <v>16160</v>
      </c>
      <c r="AW34" s="93">
        <f t="shared" si="11"/>
        <v>21245.42</v>
      </c>
      <c r="AX34" s="93"/>
      <c r="AY34" s="94">
        <f t="shared" si="9"/>
        <v>373823.57</v>
      </c>
      <c r="AZ34" s="94">
        <f>ROUND(SUM(AZ23:AZ33),5)</f>
        <v>268800</v>
      </c>
      <c r="BA34" s="94">
        <f>ROUND(SUM(BA23:BA33),5)</f>
        <v>343200</v>
      </c>
      <c r="BB34" s="95"/>
    </row>
    <row r="35" spans="1:54" x14ac:dyDescent="0.3">
      <c r="A35" s="50"/>
      <c r="B35" s="50"/>
      <c r="C35" s="50"/>
      <c r="D35" s="50" t="s">
        <v>3</v>
      </c>
      <c r="E35" s="50"/>
      <c r="F35" s="50"/>
      <c r="G35" s="50"/>
      <c r="H35" s="51">
        <f t="shared" ref="H35:P35" si="12">ROUND(H3+H15+H22+H34,5)</f>
        <v>61275.14</v>
      </c>
      <c r="I35" s="51">
        <f t="shared" si="12"/>
        <v>21077.040000000001</v>
      </c>
      <c r="J35" s="51">
        <f t="shared" si="12"/>
        <v>86259.35</v>
      </c>
      <c r="K35" s="51">
        <f t="shared" si="12"/>
        <v>85563.12</v>
      </c>
      <c r="L35" s="51">
        <f t="shared" si="12"/>
        <v>26431.9</v>
      </c>
      <c r="M35" s="51">
        <f t="shared" si="12"/>
        <v>297669.45</v>
      </c>
      <c r="N35" s="51">
        <f t="shared" si="12"/>
        <v>218782.29</v>
      </c>
      <c r="O35" s="51">
        <f t="shared" si="12"/>
        <v>59700.88</v>
      </c>
      <c r="P35" s="51">
        <f t="shared" si="12"/>
        <v>74424.84</v>
      </c>
      <c r="Q35" s="51">
        <f>ROUND(Q3+Q15+Q22+Q34,5)</f>
        <v>104516.21</v>
      </c>
      <c r="R35" s="51">
        <f>ROUND(R3+R15+R22+R34,5)</f>
        <v>236615.87</v>
      </c>
      <c r="S35" s="51">
        <f>ROUND(S3+S15+S22+S34,5)</f>
        <v>102406.86</v>
      </c>
      <c r="T35" s="51"/>
      <c r="U35" s="51">
        <f t="shared" si="8"/>
        <v>1374722.95</v>
      </c>
      <c r="V35" s="51">
        <f>ROUND(V3+V15+V22+V34,5)</f>
        <v>1201000</v>
      </c>
      <c r="W35" s="51">
        <f>ROUND(W3+W15+W22+W34,5)</f>
        <v>1141100</v>
      </c>
      <c r="AB35" s="86"/>
      <c r="AC35" s="86"/>
      <c r="AD35" s="86" t="s">
        <v>101</v>
      </c>
      <c r="AE35" s="86"/>
      <c r="AF35" s="86"/>
      <c r="AG35" s="86"/>
      <c r="AH35" s="87"/>
      <c r="AI35" s="87"/>
      <c r="AJ35" s="87"/>
      <c r="AK35" s="87"/>
      <c r="AL35" s="87">
        <f t="shared" ref="AL35:AW35" si="13">ROUND(AL3+AL15+AL22+AL34,5)</f>
        <v>19157.96</v>
      </c>
      <c r="AM35" s="87">
        <f t="shared" si="13"/>
        <v>32762.26</v>
      </c>
      <c r="AN35" s="87">
        <f t="shared" si="13"/>
        <v>38581.82</v>
      </c>
      <c r="AO35" s="87">
        <f t="shared" si="13"/>
        <v>91690.13</v>
      </c>
      <c r="AP35" s="87">
        <f t="shared" si="13"/>
        <v>19284.080000000002</v>
      </c>
      <c r="AQ35" s="87">
        <f t="shared" si="13"/>
        <v>247789.42</v>
      </c>
      <c r="AR35" s="87">
        <f t="shared" si="13"/>
        <v>256344.78</v>
      </c>
      <c r="AS35" s="87">
        <f t="shared" si="13"/>
        <v>59246.37</v>
      </c>
      <c r="AT35" s="87">
        <f t="shared" si="13"/>
        <v>65460.81</v>
      </c>
      <c r="AU35" s="87">
        <f t="shared" si="13"/>
        <v>97264.65</v>
      </c>
      <c r="AV35" s="87">
        <f t="shared" si="13"/>
        <v>222938.27</v>
      </c>
      <c r="AW35" s="87">
        <f t="shared" si="13"/>
        <v>114688.35</v>
      </c>
      <c r="AX35" s="87"/>
      <c r="AY35" s="88">
        <f t="shared" si="9"/>
        <v>1265208.8999999999</v>
      </c>
      <c r="AZ35" s="88">
        <f>ROUND(AZ3+AZ15+AZ22+AZ34,5)</f>
        <v>1078800</v>
      </c>
      <c r="BA35" s="88">
        <f>ROUND(BA3+BA15+BA22+BA34,5)</f>
        <v>1201000</v>
      </c>
      <c r="BB35" s="89"/>
    </row>
    <row r="36" spans="1:54" hidden="1" x14ac:dyDescent="0.3">
      <c r="A36" s="50"/>
      <c r="B36" s="50"/>
      <c r="C36" s="50"/>
      <c r="D36" s="50" t="s">
        <v>101</v>
      </c>
      <c r="E36" s="50"/>
      <c r="F36" s="50"/>
      <c r="G36" s="50"/>
      <c r="H36" s="51"/>
      <c r="I36" s="51"/>
      <c r="J36" s="51"/>
      <c r="K36" s="51"/>
      <c r="L36" s="51"/>
      <c r="M36" s="51"/>
      <c r="N36" s="51"/>
      <c r="O36" s="51"/>
      <c r="P36" s="51"/>
      <c r="Q36" s="51"/>
      <c r="R36" s="51"/>
      <c r="S36" s="51"/>
      <c r="T36" s="51"/>
      <c r="U36" s="51"/>
      <c r="V36" s="51"/>
      <c r="W36" s="51"/>
      <c r="AB36" s="86"/>
      <c r="AC36" s="86"/>
      <c r="AD36" s="86"/>
      <c r="AE36" s="86" t="s">
        <v>102</v>
      </c>
      <c r="AF36" s="86"/>
      <c r="AG36" s="86"/>
      <c r="AH36" s="87"/>
      <c r="AI36" s="87"/>
      <c r="AJ36" s="87"/>
      <c r="AK36" s="87"/>
      <c r="AL36" s="87"/>
      <c r="AM36" s="87"/>
      <c r="AN36" s="87"/>
      <c r="AO36" s="87"/>
      <c r="AP36" s="87"/>
      <c r="AQ36" s="87"/>
      <c r="AR36" s="87"/>
      <c r="AS36" s="87"/>
      <c r="AT36" s="87"/>
      <c r="AU36" s="87"/>
      <c r="AV36" s="87"/>
      <c r="AW36" s="87"/>
      <c r="AX36" s="87"/>
      <c r="AY36" s="88"/>
      <c r="AZ36" s="88"/>
      <c r="BA36" s="88"/>
      <c r="BB36" s="89"/>
    </row>
    <row r="37" spans="1:54" ht="15" hidden="1" thickBot="1" x14ac:dyDescent="0.35">
      <c r="A37" s="50"/>
      <c r="B37" s="50"/>
      <c r="C37" s="50"/>
      <c r="D37" s="50"/>
      <c r="E37" s="50" t="s">
        <v>102</v>
      </c>
      <c r="F37" s="50"/>
      <c r="G37" s="50"/>
      <c r="H37" s="51">
        <v>0</v>
      </c>
      <c r="I37" s="51">
        <v>0</v>
      </c>
      <c r="J37" s="51">
        <v>0</v>
      </c>
      <c r="K37" s="51">
        <v>0</v>
      </c>
      <c r="L37" s="51">
        <v>0</v>
      </c>
      <c r="M37" s="51">
        <v>0</v>
      </c>
      <c r="N37" s="51">
        <v>0</v>
      </c>
      <c r="O37" s="51">
        <v>0</v>
      </c>
      <c r="P37" s="51">
        <v>0</v>
      </c>
      <c r="Q37" s="51">
        <v>0</v>
      </c>
      <c r="R37" s="51">
        <v>0</v>
      </c>
      <c r="S37" s="51">
        <v>0</v>
      </c>
      <c r="T37" s="51"/>
      <c r="U37" s="51">
        <f>ROUND(SUM(H37:T37),5)</f>
        <v>0</v>
      </c>
      <c r="V37" s="51">
        <v>0</v>
      </c>
      <c r="W37" s="51">
        <v>0</v>
      </c>
      <c r="AB37" s="86"/>
      <c r="AC37" s="86"/>
      <c r="AD37" s="86" t="s">
        <v>103</v>
      </c>
      <c r="AE37" s="86"/>
      <c r="AF37" s="86"/>
      <c r="AG37" s="86"/>
      <c r="AH37" s="87"/>
      <c r="AI37" s="87"/>
      <c r="AJ37" s="87"/>
      <c r="AK37" s="87"/>
      <c r="AL37" s="87">
        <v>0</v>
      </c>
      <c r="AM37" s="87">
        <v>0</v>
      </c>
      <c r="AN37" s="87">
        <v>0</v>
      </c>
      <c r="AO37" s="87">
        <v>0</v>
      </c>
      <c r="AP37" s="87">
        <v>0</v>
      </c>
      <c r="AQ37" s="87">
        <v>0</v>
      </c>
      <c r="AR37" s="87">
        <v>0</v>
      </c>
      <c r="AS37" s="87">
        <v>0</v>
      </c>
      <c r="AT37" s="87">
        <v>0</v>
      </c>
      <c r="AU37" s="87">
        <v>0</v>
      </c>
      <c r="AV37" s="87">
        <v>0</v>
      </c>
      <c r="AW37" s="87">
        <v>0</v>
      </c>
      <c r="AX37" s="87"/>
      <c r="AY37" s="88">
        <f>ROUND(SUM(AH37:AX37),5)</f>
        <v>0</v>
      </c>
      <c r="AZ37" s="88">
        <v>0</v>
      </c>
      <c r="BA37" s="88">
        <v>0</v>
      </c>
      <c r="BB37" s="89"/>
    </row>
    <row r="38" spans="1:54" ht="15" hidden="1" thickBot="1" x14ac:dyDescent="0.35">
      <c r="A38" s="50"/>
      <c r="B38" s="50"/>
      <c r="C38" s="50"/>
      <c r="D38" s="50" t="s">
        <v>103</v>
      </c>
      <c r="E38" s="50"/>
      <c r="F38" s="50"/>
      <c r="G38" s="50"/>
      <c r="H38" s="53">
        <f t="shared" ref="H38:P38" si="14">ROUND(SUM(H36:H37),5)</f>
        <v>0</v>
      </c>
      <c r="I38" s="53">
        <f t="shared" si="14"/>
        <v>0</v>
      </c>
      <c r="J38" s="53">
        <f t="shared" si="14"/>
        <v>0</v>
      </c>
      <c r="K38" s="53">
        <f t="shared" si="14"/>
        <v>0</v>
      </c>
      <c r="L38" s="53">
        <f t="shared" si="14"/>
        <v>0</v>
      </c>
      <c r="M38" s="53">
        <f t="shared" si="14"/>
        <v>0</v>
      </c>
      <c r="N38" s="53">
        <f t="shared" si="14"/>
        <v>0</v>
      </c>
      <c r="O38" s="53">
        <f t="shared" si="14"/>
        <v>0</v>
      </c>
      <c r="P38" s="53">
        <f t="shared" si="14"/>
        <v>0</v>
      </c>
      <c r="Q38" s="53">
        <f>ROUND(SUM(Q36:Q37),5)</f>
        <v>0</v>
      </c>
      <c r="R38" s="53">
        <f>ROUND(SUM(R36:R37),5)</f>
        <v>0</v>
      </c>
      <c r="S38" s="53">
        <f>ROUND(SUM(S36:S37),5)</f>
        <v>0</v>
      </c>
      <c r="T38" s="53"/>
      <c r="U38" s="53">
        <f>ROUND(SUM(H38:T38),5)</f>
        <v>0</v>
      </c>
      <c r="V38" s="53">
        <f>ROUND(SUM(V36:V37),5)</f>
        <v>0</v>
      </c>
      <c r="W38" s="53">
        <f>ROUND(SUM(W36:W37),5)</f>
        <v>0</v>
      </c>
      <c r="AB38" s="86"/>
      <c r="AC38" s="86" t="s">
        <v>104</v>
      </c>
      <c r="AD38" s="86"/>
      <c r="AE38" s="86"/>
      <c r="AF38" s="86"/>
      <c r="AG38" s="86"/>
      <c r="AH38" s="93"/>
      <c r="AI38" s="93"/>
      <c r="AJ38" s="93"/>
      <c r="AK38" s="93"/>
      <c r="AL38" s="93">
        <f t="shared" ref="AL38:AW38" si="15">ROUND(SUM(AL36:AL37),5)</f>
        <v>0</v>
      </c>
      <c r="AM38" s="93">
        <f t="shared" si="15"/>
        <v>0</v>
      </c>
      <c r="AN38" s="93">
        <f t="shared" si="15"/>
        <v>0</v>
      </c>
      <c r="AO38" s="93">
        <f t="shared" si="15"/>
        <v>0</v>
      </c>
      <c r="AP38" s="93">
        <f t="shared" si="15"/>
        <v>0</v>
      </c>
      <c r="AQ38" s="93">
        <f t="shared" si="15"/>
        <v>0</v>
      </c>
      <c r="AR38" s="93">
        <f t="shared" si="15"/>
        <v>0</v>
      </c>
      <c r="AS38" s="93">
        <f t="shared" si="15"/>
        <v>0</v>
      </c>
      <c r="AT38" s="93">
        <f t="shared" si="15"/>
        <v>0</v>
      </c>
      <c r="AU38" s="93">
        <f t="shared" si="15"/>
        <v>0</v>
      </c>
      <c r="AV38" s="93">
        <f t="shared" si="15"/>
        <v>0</v>
      </c>
      <c r="AW38" s="93">
        <f t="shared" si="15"/>
        <v>0</v>
      </c>
      <c r="AX38" s="93"/>
      <c r="AY38" s="94">
        <f>ROUND(SUM(AH38:AX38),5)</f>
        <v>0</v>
      </c>
      <c r="AZ38" s="94">
        <f>ROUND(SUM(AZ36:AZ37),5)</f>
        <v>0</v>
      </c>
      <c r="BA38" s="94">
        <f>ROUND(SUM(BA36:BA37),5)</f>
        <v>0</v>
      </c>
      <c r="BB38" s="95"/>
    </row>
    <row r="39" spans="1:54" hidden="1" x14ac:dyDescent="0.3">
      <c r="A39" s="50"/>
      <c r="B39" s="50"/>
      <c r="C39" s="50" t="s">
        <v>104</v>
      </c>
      <c r="D39" s="50"/>
      <c r="E39" s="50"/>
      <c r="F39" s="50"/>
      <c r="G39" s="50"/>
      <c r="H39" s="51">
        <f t="shared" ref="H39:P39" si="16">ROUND(H35-H38,5)</f>
        <v>61275.14</v>
      </c>
      <c r="I39" s="51">
        <f t="shared" si="16"/>
        <v>21077.040000000001</v>
      </c>
      <c r="J39" s="51">
        <f t="shared" si="16"/>
        <v>86259.35</v>
      </c>
      <c r="K39" s="51">
        <f t="shared" si="16"/>
        <v>85563.12</v>
      </c>
      <c r="L39" s="51">
        <f t="shared" si="16"/>
        <v>26431.9</v>
      </c>
      <c r="M39" s="51">
        <f t="shared" si="16"/>
        <v>297669.45</v>
      </c>
      <c r="N39" s="51">
        <f t="shared" si="16"/>
        <v>218782.29</v>
      </c>
      <c r="O39" s="51">
        <f t="shared" si="16"/>
        <v>59700.88</v>
      </c>
      <c r="P39" s="51">
        <f t="shared" si="16"/>
        <v>74424.84</v>
      </c>
      <c r="Q39" s="51">
        <f>ROUND(Q35-Q38,5)</f>
        <v>104516.21</v>
      </c>
      <c r="R39" s="51">
        <f>ROUND(R35-R38,5)</f>
        <v>236615.87</v>
      </c>
      <c r="S39" s="51">
        <f>ROUND(S35-S38,5)</f>
        <v>102406.86</v>
      </c>
      <c r="T39" s="51"/>
      <c r="U39" s="51">
        <f>ROUND(SUM(H39:T39),5)</f>
        <v>1374722.95</v>
      </c>
      <c r="V39" s="51">
        <f>ROUND(V35-V38,5)</f>
        <v>1201000</v>
      </c>
      <c r="W39" s="51">
        <f>ROUND(W35-W38,5)</f>
        <v>1141100</v>
      </c>
      <c r="AB39" s="86"/>
      <c r="AC39" s="86"/>
      <c r="AD39" s="86" t="s">
        <v>4</v>
      </c>
      <c r="AE39" s="86"/>
      <c r="AF39" s="86"/>
      <c r="AG39" s="86"/>
      <c r="AH39" s="87"/>
      <c r="AI39" s="87"/>
      <c r="AJ39" s="87"/>
      <c r="AK39" s="87"/>
      <c r="AL39" s="87">
        <f t="shared" ref="AL39:AW39" si="17">ROUND(AL35-AL38,5)</f>
        <v>19157.96</v>
      </c>
      <c r="AM39" s="87">
        <f t="shared" si="17"/>
        <v>32762.26</v>
      </c>
      <c r="AN39" s="87">
        <f t="shared" si="17"/>
        <v>38581.82</v>
      </c>
      <c r="AO39" s="87">
        <f t="shared" si="17"/>
        <v>91690.13</v>
      </c>
      <c r="AP39" s="87">
        <f t="shared" si="17"/>
        <v>19284.080000000002</v>
      </c>
      <c r="AQ39" s="87">
        <f t="shared" si="17"/>
        <v>247789.42</v>
      </c>
      <c r="AR39" s="87">
        <f t="shared" si="17"/>
        <v>256344.78</v>
      </c>
      <c r="AS39" s="87">
        <f t="shared" si="17"/>
        <v>59246.37</v>
      </c>
      <c r="AT39" s="87">
        <f t="shared" si="17"/>
        <v>65460.81</v>
      </c>
      <c r="AU39" s="87">
        <f t="shared" si="17"/>
        <v>97264.65</v>
      </c>
      <c r="AV39" s="87">
        <f t="shared" si="17"/>
        <v>222938.27</v>
      </c>
      <c r="AW39" s="87">
        <f t="shared" si="17"/>
        <v>114688.35</v>
      </c>
      <c r="AX39" s="87"/>
      <c r="AY39" s="88">
        <f>ROUND(SUM(AH39:AX39),5)</f>
        <v>1265208.8999999999</v>
      </c>
      <c r="AZ39" s="88">
        <f>ROUND(AZ35-AZ38,5)</f>
        <v>1078800</v>
      </c>
      <c r="BA39" s="88">
        <f>ROUND(BA35-BA38,5)</f>
        <v>1201000</v>
      </c>
      <c r="BB39" s="89"/>
    </row>
    <row r="40" spans="1:54" x14ac:dyDescent="0.3">
      <c r="A40" s="50"/>
      <c r="B40" s="50"/>
      <c r="C40" s="50"/>
      <c r="D40" s="50" t="s">
        <v>4</v>
      </c>
      <c r="E40" s="50"/>
      <c r="F40" s="50"/>
      <c r="G40" s="50"/>
      <c r="H40" s="51"/>
      <c r="I40" s="51"/>
      <c r="J40" s="51"/>
      <c r="K40" s="51"/>
      <c r="L40" s="51"/>
      <c r="M40" s="51"/>
      <c r="N40" s="51"/>
      <c r="O40" s="51"/>
      <c r="P40" s="51"/>
      <c r="Q40" s="51"/>
      <c r="R40" s="51"/>
      <c r="S40" s="51"/>
      <c r="T40" s="51"/>
      <c r="U40" s="51"/>
      <c r="V40" s="51"/>
      <c r="W40" s="51"/>
      <c r="AB40" s="86"/>
      <c r="AC40" s="86"/>
      <c r="AD40" s="86"/>
      <c r="AE40" s="86" t="s">
        <v>105</v>
      </c>
      <c r="AF40" s="86"/>
      <c r="AG40" s="86"/>
      <c r="AH40" s="87"/>
      <c r="AI40" s="87"/>
      <c r="AJ40" s="87"/>
      <c r="AK40" s="87"/>
      <c r="AL40" s="87"/>
      <c r="AM40" s="87"/>
      <c r="AN40" s="87"/>
      <c r="AO40" s="87"/>
      <c r="AP40" s="87"/>
      <c r="AQ40" s="87"/>
      <c r="AR40" s="87"/>
      <c r="AS40" s="87"/>
      <c r="AT40" s="87"/>
      <c r="AU40" s="87"/>
      <c r="AV40" s="87"/>
      <c r="AW40" s="87"/>
      <c r="AX40" s="87"/>
      <c r="AY40" s="88"/>
      <c r="AZ40" s="88"/>
      <c r="BA40" s="88"/>
      <c r="BB40" s="89"/>
    </row>
    <row r="41" spans="1:54" x14ac:dyDescent="0.3">
      <c r="A41" s="50"/>
      <c r="B41" s="50"/>
      <c r="C41" s="50"/>
      <c r="D41" s="50"/>
      <c r="E41" s="50" t="s">
        <v>105</v>
      </c>
      <c r="F41" s="50"/>
      <c r="G41" s="50"/>
      <c r="H41" s="51"/>
      <c r="I41" s="51"/>
      <c r="J41" s="51"/>
      <c r="K41" s="51"/>
      <c r="L41" s="51"/>
      <c r="M41" s="51"/>
      <c r="N41" s="51"/>
      <c r="O41" s="51"/>
      <c r="P41" s="51"/>
      <c r="Q41" s="51"/>
      <c r="R41" s="51"/>
      <c r="S41" s="51"/>
      <c r="T41" s="51"/>
      <c r="U41" s="51"/>
      <c r="V41" s="51"/>
      <c r="W41" s="51"/>
      <c r="AB41" s="86"/>
      <c r="AC41" s="86"/>
      <c r="AD41" s="86"/>
      <c r="AE41" s="86"/>
      <c r="AF41" s="86"/>
      <c r="AG41" s="86"/>
      <c r="AH41" s="87"/>
      <c r="AI41" s="87"/>
      <c r="AJ41" s="87"/>
      <c r="AK41" s="87"/>
      <c r="AL41" s="87"/>
      <c r="AM41" s="87"/>
      <c r="AN41" s="87"/>
      <c r="AO41" s="87"/>
      <c r="AP41" s="87"/>
      <c r="AQ41" s="87"/>
      <c r="AR41" s="87"/>
      <c r="AS41" s="87"/>
      <c r="AT41" s="87"/>
      <c r="AU41" s="87"/>
      <c r="AV41" s="87"/>
      <c r="AW41" s="87"/>
      <c r="AX41" s="87"/>
      <c r="AY41" s="88"/>
      <c r="AZ41" s="88"/>
      <c r="BA41" s="88"/>
      <c r="BB41" s="89"/>
    </row>
    <row r="42" spans="1:54" x14ac:dyDescent="0.3">
      <c r="A42" s="50"/>
      <c r="B42" s="50"/>
      <c r="C42" s="50"/>
      <c r="D42" s="50"/>
      <c r="E42" s="50"/>
      <c r="F42" s="50" t="s">
        <v>106</v>
      </c>
      <c r="G42" s="50"/>
      <c r="H42" s="51"/>
      <c r="I42" s="51"/>
      <c r="J42" s="51"/>
      <c r="K42" s="51"/>
      <c r="L42" s="51"/>
      <c r="M42" s="51"/>
      <c r="N42" s="51"/>
      <c r="O42" s="51"/>
      <c r="P42" s="51"/>
      <c r="Q42" s="51"/>
      <c r="R42" s="51"/>
      <c r="S42" s="51"/>
      <c r="T42" s="51"/>
      <c r="U42" s="51"/>
      <c r="V42" s="51"/>
      <c r="W42" s="51"/>
      <c r="AB42" s="86"/>
      <c r="AC42" s="86"/>
      <c r="AD42" s="86"/>
      <c r="AE42" s="86"/>
      <c r="AF42" s="86" t="s">
        <v>106</v>
      </c>
      <c r="AG42" s="86"/>
      <c r="AH42" s="87"/>
      <c r="AI42" s="87"/>
      <c r="AJ42" s="87"/>
      <c r="AK42" s="87"/>
      <c r="AL42" s="87"/>
      <c r="AM42" s="87"/>
      <c r="AN42" s="87"/>
      <c r="AO42" s="87"/>
      <c r="AP42" s="87"/>
      <c r="AQ42" s="87"/>
      <c r="AR42" s="87"/>
      <c r="AS42" s="87"/>
      <c r="AT42" s="87"/>
      <c r="AU42" s="87"/>
      <c r="AV42" s="87"/>
      <c r="AW42" s="87"/>
      <c r="AX42" s="87"/>
      <c r="AY42" s="88"/>
      <c r="AZ42" s="88"/>
      <c r="BA42" s="88"/>
      <c r="BB42" s="89"/>
    </row>
    <row r="43" spans="1:54" x14ac:dyDescent="0.3">
      <c r="A43" s="50"/>
      <c r="B43" s="50"/>
      <c r="C43" s="50"/>
      <c r="D43" s="50"/>
      <c r="E43" s="50"/>
      <c r="F43" s="50"/>
      <c r="G43" s="50" t="s">
        <v>107</v>
      </c>
      <c r="H43" s="51">
        <v>8772.68</v>
      </c>
      <c r="I43" s="51">
        <v>17294.16</v>
      </c>
      <c r="J43" s="51">
        <v>20600.22</v>
      </c>
      <c r="K43" s="51">
        <v>22987.7</v>
      </c>
      <c r="L43" s="51">
        <v>15845.14</v>
      </c>
      <c r="M43" s="51">
        <v>18074.96</v>
      </c>
      <c r="N43" s="51">
        <v>35615.51</v>
      </c>
      <c r="O43" s="51">
        <v>18384.71</v>
      </c>
      <c r="P43" s="51">
        <v>18295.900000000001</v>
      </c>
      <c r="Q43" s="51">
        <v>27577.57</v>
      </c>
      <c r="R43" s="51">
        <v>16843.310000000001</v>
      </c>
      <c r="S43" s="51">
        <v>21987.85</v>
      </c>
      <c r="T43" s="51"/>
      <c r="U43" s="51">
        <f>ROUND(SUM(H43:T43),5)</f>
        <v>242279.71</v>
      </c>
      <c r="V43" s="67">
        <v>281000</v>
      </c>
      <c r="W43" s="67">
        <v>304000</v>
      </c>
      <c r="X43" s="68" t="s">
        <v>207</v>
      </c>
      <c r="AB43" s="86"/>
      <c r="AC43" s="86"/>
      <c r="AD43" s="86"/>
      <c r="AE43" s="86"/>
      <c r="AF43" s="86"/>
      <c r="AG43" s="86" t="s">
        <v>107</v>
      </c>
      <c r="AH43" s="87"/>
      <c r="AI43" s="87"/>
      <c r="AJ43" s="87"/>
      <c r="AK43" s="87"/>
      <c r="AL43" s="87">
        <v>8942.48</v>
      </c>
      <c r="AM43" s="87">
        <v>16476.650000000001</v>
      </c>
      <c r="AN43" s="87">
        <v>17665.79</v>
      </c>
      <c r="AO43" s="87">
        <v>27986.11</v>
      </c>
      <c r="AP43" s="87">
        <v>14362.23</v>
      </c>
      <c r="AQ43" s="87">
        <v>14423.56</v>
      </c>
      <c r="AR43" s="87">
        <v>24698.48</v>
      </c>
      <c r="AS43" s="87">
        <v>16746.79</v>
      </c>
      <c r="AT43" s="87">
        <v>16868.52</v>
      </c>
      <c r="AU43" s="87">
        <v>25401.13</v>
      </c>
      <c r="AV43" s="87">
        <v>26898.32</v>
      </c>
      <c r="AW43" s="87">
        <v>21343.49</v>
      </c>
      <c r="AX43" s="87"/>
      <c r="AY43" s="88">
        <f t="shared" ref="AY43:AY48" si="18">ROUND(SUM(AH43:AX43),5)</f>
        <v>231813.55</v>
      </c>
      <c r="AZ43" s="88">
        <v>235000</v>
      </c>
      <c r="BA43" s="88">
        <v>281000</v>
      </c>
      <c r="BB43" s="89" t="s">
        <v>207</v>
      </c>
    </row>
    <row r="44" spans="1:54" x14ac:dyDescent="0.3">
      <c r="A44" s="50"/>
      <c r="B44" s="50"/>
      <c r="C44" s="50"/>
      <c r="D44" s="50"/>
      <c r="E44" s="50"/>
      <c r="F44" s="50"/>
      <c r="G44" s="50" t="s">
        <v>108</v>
      </c>
      <c r="H44" s="51">
        <v>0</v>
      </c>
      <c r="I44" s="51">
        <v>0</v>
      </c>
      <c r="J44" s="51">
        <v>0</v>
      </c>
      <c r="K44" s="51">
        <v>0</v>
      </c>
      <c r="L44" s="51">
        <v>0</v>
      </c>
      <c r="M44" s="51">
        <v>6280.13</v>
      </c>
      <c r="N44" s="51">
        <v>0</v>
      </c>
      <c r="O44" s="51">
        <v>0</v>
      </c>
      <c r="P44" s="51">
        <v>0</v>
      </c>
      <c r="Q44" s="51">
        <v>0</v>
      </c>
      <c r="R44" s="51">
        <v>0</v>
      </c>
      <c r="S44" s="51">
        <v>0</v>
      </c>
      <c r="T44" s="51"/>
      <c r="U44" s="51">
        <f>ROUND(SUM(H44:T44),5)</f>
        <v>6280.13</v>
      </c>
      <c r="V44" s="67">
        <v>5000</v>
      </c>
      <c r="W44" s="67">
        <v>6500</v>
      </c>
      <c r="X44" s="68" t="s">
        <v>207</v>
      </c>
      <c r="AB44" s="86"/>
      <c r="AC44" s="86"/>
      <c r="AD44" s="86"/>
      <c r="AE44" s="86"/>
      <c r="AF44" s="86"/>
      <c r="AG44" s="86" t="s">
        <v>212</v>
      </c>
      <c r="AH44" s="87"/>
      <c r="AI44" s="87"/>
      <c r="AJ44" s="87"/>
      <c r="AK44" s="87"/>
      <c r="AL44" s="87">
        <v>0</v>
      </c>
      <c r="AM44" s="87">
        <v>0</v>
      </c>
      <c r="AN44" s="87">
        <v>0</v>
      </c>
      <c r="AO44" s="87">
        <v>0</v>
      </c>
      <c r="AP44" s="87">
        <v>0</v>
      </c>
      <c r="AQ44" s="87">
        <v>0</v>
      </c>
      <c r="AR44" s="87">
        <v>0</v>
      </c>
      <c r="AS44" s="87">
        <v>0</v>
      </c>
      <c r="AT44" s="87">
        <v>0</v>
      </c>
      <c r="AU44" s="87">
        <v>0</v>
      </c>
      <c r="AV44" s="87">
        <v>0</v>
      </c>
      <c r="AW44" s="87">
        <v>0</v>
      </c>
      <c r="AX44" s="87"/>
      <c r="AY44" s="88">
        <f t="shared" si="18"/>
        <v>0</v>
      </c>
      <c r="AZ44" s="88">
        <v>43680</v>
      </c>
      <c r="BA44" s="88">
        <v>43680</v>
      </c>
      <c r="BB44" s="89" t="s">
        <v>245</v>
      </c>
    </row>
    <row r="45" spans="1:54" x14ac:dyDescent="0.3">
      <c r="A45" s="50"/>
      <c r="B45" s="50"/>
      <c r="C45" s="50"/>
      <c r="D45" s="50"/>
      <c r="E45" s="50"/>
      <c r="F45" s="50"/>
      <c r="G45" s="50" t="s">
        <v>276</v>
      </c>
      <c r="H45" s="51">
        <v>0</v>
      </c>
      <c r="I45" s="51">
        <v>0</v>
      </c>
      <c r="J45" s="51">
        <v>0</v>
      </c>
      <c r="K45" s="51">
        <v>0</v>
      </c>
      <c r="L45" s="51">
        <v>0</v>
      </c>
      <c r="M45" s="51">
        <v>0</v>
      </c>
      <c r="N45" s="51">
        <v>0</v>
      </c>
      <c r="O45" s="51">
        <v>0</v>
      </c>
      <c r="P45" s="51">
        <v>0</v>
      </c>
      <c r="Q45" s="51">
        <v>0</v>
      </c>
      <c r="R45" s="51">
        <v>0</v>
      </c>
      <c r="S45" s="51">
        <v>0</v>
      </c>
      <c r="T45" s="51"/>
      <c r="U45" s="51">
        <f>ROUND(SUM(H45:T45),5)</f>
        <v>0</v>
      </c>
      <c r="V45" s="67">
        <v>5500</v>
      </c>
      <c r="W45" s="67">
        <v>5500</v>
      </c>
      <c r="X45" s="68" t="s">
        <v>207</v>
      </c>
      <c r="AB45" s="86"/>
      <c r="AC45" s="86"/>
      <c r="AD45" s="86"/>
      <c r="AE45" s="86"/>
      <c r="AF45" s="86"/>
      <c r="AG45" s="86" t="s">
        <v>108</v>
      </c>
      <c r="AH45" s="87"/>
      <c r="AI45" s="87"/>
      <c r="AJ45" s="87"/>
      <c r="AK45" s="87"/>
      <c r="AL45" s="87">
        <v>0</v>
      </c>
      <c r="AM45" s="87">
        <v>0</v>
      </c>
      <c r="AN45" s="87">
        <v>0</v>
      </c>
      <c r="AO45" s="87">
        <v>0</v>
      </c>
      <c r="AP45" s="87">
        <v>0</v>
      </c>
      <c r="AQ45" s="87">
        <v>3986.45</v>
      </c>
      <c r="AR45" s="87">
        <v>0</v>
      </c>
      <c r="AS45" s="87">
        <v>0</v>
      </c>
      <c r="AT45" s="87">
        <v>0</v>
      </c>
      <c r="AU45" s="87">
        <v>6572.5</v>
      </c>
      <c r="AV45" s="87">
        <v>0</v>
      </c>
      <c r="AW45" s="87">
        <v>0</v>
      </c>
      <c r="AX45" s="87"/>
      <c r="AY45" s="88">
        <f t="shared" si="18"/>
        <v>10558.95</v>
      </c>
      <c r="AZ45" s="88">
        <v>4500</v>
      </c>
      <c r="BA45" s="88">
        <v>5000</v>
      </c>
      <c r="BB45" s="89" t="s">
        <v>207</v>
      </c>
    </row>
    <row r="46" spans="1:54" ht="15" thickBot="1" x14ac:dyDescent="0.35">
      <c r="A46" s="50"/>
      <c r="B46" s="50"/>
      <c r="C46" s="50"/>
      <c r="D46" s="50"/>
      <c r="E46" s="50"/>
      <c r="F46" s="50"/>
      <c r="G46" s="50" t="s">
        <v>109</v>
      </c>
      <c r="H46" s="52">
        <v>35.64</v>
      </c>
      <c r="I46" s="52">
        <v>35.64</v>
      </c>
      <c r="J46" s="52">
        <v>35.64</v>
      </c>
      <c r="K46" s="52">
        <v>35.64</v>
      </c>
      <c r="L46" s="52">
        <v>35.64</v>
      </c>
      <c r="M46" s="52">
        <v>35.64</v>
      </c>
      <c r="N46" s="52">
        <v>35.64</v>
      </c>
      <c r="O46" s="52">
        <v>35.64</v>
      </c>
      <c r="P46" s="52">
        <v>35.64</v>
      </c>
      <c r="Q46" s="52">
        <v>35.64</v>
      </c>
      <c r="R46" s="52">
        <v>35.64</v>
      </c>
      <c r="S46" s="52">
        <v>35.64</v>
      </c>
      <c r="T46" s="52"/>
      <c r="U46" s="52">
        <f>ROUND(SUM(H46:T46),5)</f>
        <v>427.68</v>
      </c>
      <c r="V46" s="69">
        <v>450</v>
      </c>
      <c r="W46" s="69">
        <v>450</v>
      </c>
      <c r="X46" s="68" t="s">
        <v>207</v>
      </c>
      <c r="AB46" s="86"/>
      <c r="AC46" s="86"/>
      <c r="AD46" s="86"/>
      <c r="AE46" s="86"/>
      <c r="AF46" s="86"/>
      <c r="AG46" s="86" t="s">
        <v>237</v>
      </c>
      <c r="AH46" s="87"/>
      <c r="AI46" s="87"/>
      <c r="AJ46" s="87"/>
      <c r="AK46" s="87"/>
      <c r="AL46" s="87">
        <v>0</v>
      </c>
      <c r="AM46" s="87">
        <v>0</v>
      </c>
      <c r="AN46" s="87">
        <v>0</v>
      </c>
      <c r="AO46" s="87">
        <v>0</v>
      </c>
      <c r="AP46" s="87">
        <v>0</v>
      </c>
      <c r="AQ46" s="87">
        <v>0</v>
      </c>
      <c r="AR46" s="87">
        <v>0</v>
      </c>
      <c r="AS46" s="87">
        <v>0</v>
      </c>
      <c r="AT46" s="87">
        <v>0</v>
      </c>
      <c r="AU46" s="87">
        <v>0</v>
      </c>
      <c r="AV46" s="87">
        <v>0</v>
      </c>
      <c r="AW46" s="87">
        <v>0</v>
      </c>
      <c r="AX46" s="87"/>
      <c r="AY46" s="88">
        <f t="shared" si="18"/>
        <v>0</v>
      </c>
      <c r="AZ46" s="88">
        <v>5100</v>
      </c>
      <c r="BA46" s="88">
        <v>5500</v>
      </c>
      <c r="BB46" s="89" t="s">
        <v>207</v>
      </c>
    </row>
    <row r="47" spans="1:54" ht="15" thickBot="1" x14ac:dyDescent="0.35">
      <c r="A47" s="50"/>
      <c r="B47" s="50"/>
      <c r="C47" s="50"/>
      <c r="D47" s="50"/>
      <c r="E47" s="50"/>
      <c r="F47" s="50" t="s">
        <v>110</v>
      </c>
      <c r="G47" s="50"/>
      <c r="H47" s="51">
        <f t="shared" ref="H47:S47" si="19">ROUND(SUM(H42:H46),5)</f>
        <v>8808.32</v>
      </c>
      <c r="I47" s="51">
        <f t="shared" si="19"/>
        <v>17329.8</v>
      </c>
      <c r="J47" s="51">
        <f t="shared" si="19"/>
        <v>20635.86</v>
      </c>
      <c r="K47" s="51">
        <f t="shared" si="19"/>
        <v>23023.34</v>
      </c>
      <c r="L47" s="51">
        <f t="shared" si="19"/>
        <v>15880.78</v>
      </c>
      <c r="M47" s="51">
        <f t="shared" si="19"/>
        <v>24390.73</v>
      </c>
      <c r="N47" s="51">
        <f t="shared" si="19"/>
        <v>35651.15</v>
      </c>
      <c r="O47" s="51">
        <f t="shared" si="19"/>
        <v>18420.349999999999</v>
      </c>
      <c r="P47" s="51">
        <f t="shared" si="19"/>
        <v>18331.54</v>
      </c>
      <c r="Q47" s="51">
        <f t="shared" si="19"/>
        <v>27613.21</v>
      </c>
      <c r="R47" s="51">
        <f t="shared" si="19"/>
        <v>16878.95</v>
      </c>
      <c r="S47" s="51">
        <f t="shared" si="19"/>
        <v>22023.49</v>
      </c>
      <c r="T47" s="51"/>
      <c r="U47" s="51">
        <f>ROUND(SUM(H47:T47),5)</f>
        <v>248987.51999999999</v>
      </c>
      <c r="V47" s="51">
        <f>ROUND(SUM(V42:V46),5)</f>
        <v>291950</v>
      </c>
      <c r="W47" s="51">
        <f>ROUND(SUM(W42:W46),5)</f>
        <v>316450</v>
      </c>
      <c r="AB47" s="86"/>
      <c r="AC47" s="86"/>
      <c r="AD47" s="86"/>
      <c r="AE47" s="86"/>
      <c r="AF47" s="86"/>
      <c r="AG47" s="86" t="s">
        <v>109</v>
      </c>
      <c r="AH47" s="90"/>
      <c r="AI47" s="90"/>
      <c r="AJ47" s="90"/>
      <c r="AK47" s="90"/>
      <c r="AL47" s="90">
        <v>35.64</v>
      </c>
      <c r="AM47" s="90">
        <v>35.64</v>
      </c>
      <c r="AN47" s="90">
        <v>35.64</v>
      </c>
      <c r="AO47" s="90">
        <v>35.64</v>
      </c>
      <c r="AP47" s="90">
        <v>35.64</v>
      </c>
      <c r="AQ47" s="90">
        <v>35.64</v>
      </c>
      <c r="AR47" s="90">
        <v>35.64</v>
      </c>
      <c r="AS47" s="90">
        <v>35.64</v>
      </c>
      <c r="AT47" s="90">
        <v>35.64</v>
      </c>
      <c r="AU47" s="90">
        <v>35.64</v>
      </c>
      <c r="AV47" s="90">
        <v>35.64</v>
      </c>
      <c r="AW47" s="90">
        <v>35.64</v>
      </c>
      <c r="AX47" s="90"/>
      <c r="AY47" s="91">
        <f t="shared" si="18"/>
        <v>427.68</v>
      </c>
      <c r="AZ47" s="91">
        <v>450</v>
      </c>
      <c r="BA47" s="91">
        <v>450</v>
      </c>
      <c r="BB47" s="92"/>
    </row>
    <row r="48" spans="1:54" x14ac:dyDescent="0.3">
      <c r="A48" s="50"/>
      <c r="B48" s="50"/>
      <c r="C48" s="50"/>
      <c r="D48" s="50"/>
      <c r="E48" s="50"/>
      <c r="F48" s="50" t="s">
        <v>277</v>
      </c>
      <c r="G48" s="50"/>
      <c r="H48" s="51"/>
      <c r="I48" s="51"/>
      <c r="J48" s="51"/>
      <c r="K48" s="51"/>
      <c r="L48" s="51"/>
      <c r="M48" s="51"/>
      <c r="N48" s="51"/>
      <c r="O48" s="51"/>
      <c r="P48" s="51"/>
      <c r="Q48" s="51"/>
      <c r="R48" s="51"/>
      <c r="S48" s="51"/>
      <c r="T48" s="51"/>
      <c r="U48" s="51"/>
      <c r="V48" s="51"/>
      <c r="W48" s="51"/>
      <c r="AB48" s="86"/>
      <c r="AC48" s="86"/>
      <c r="AD48" s="86"/>
      <c r="AE48" s="86"/>
      <c r="AF48" s="86" t="s">
        <v>110</v>
      </c>
      <c r="AG48" s="86"/>
      <c r="AH48" s="87"/>
      <c r="AI48" s="87"/>
      <c r="AJ48" s="87"/>
      <c r="AK48" s="87"/>
      <c r="AL48" s="87">
        <f t="shared" ref="AL48:AW48" si="20">ROUND(SUM(AL42:AL47),5)</f>
        <v>8978.1200000000008</v>
      </c>
      <c r="AM48" s="87">
        <f t="shared" si="20"/>
        <v>16512.29</v>
      </c>
      <c r="AN48" s="87">
        <f t="shared" si="20"/>
        <v>17701.43</v>
      </c>
      <c r="AO48" s="87">
        <f t="shared" si="20"/>
        <v>28021.75</v>
      </c>
      <c r="AP48" s="87">
        <f t="shared" si="20"/>
        <v>14397.87</v>
      </c>
      <c r="AQ48" s="87">
        <f t="shared" si="20"/>
        <v>18445.650000000001</v>
      </c>
      <c r="AR48" s="87">
        <f t="shared" si="20"/>
        <v>24734.12</v>
      </c>
      <c r="AS48" s="87">
        <f t="shared" si="20"/>
        <v>16782.43</v>
      </c>
      <c r="AT48" s="87">
        <f t="shared" si="20"/>
        <v>16904.16</v>
      </c>
      <c r="AU48" s="87">
        <f t="shared" si="20"/>
        <v>32009.27</v>
      </c>
      <c r="AV48" s="87">
        <f t="shared" si="20"/>
        <v>26933.96</v>
      </c>
      <c r="AW48" s="87">
        <f t="shared" si="20"/>
        <v>21379.13</v>
      </c>
      <c r="AX48" s="87"/>
      <c r="AY48" s="88">
        <f t="shared" si="18"/>
        <v>242800.18</v>
      </c>
      <c r="AZ48" s="88">
        <f>ROUND(SUM(AZ42:AZ47),5)</f>
        <v>288730</v>
      </c>
      <c r="BA48" s="88">
        <f>ROUND(SUM(BA42:BA47),5)</f>
        <v>335630</v>
      </c>
      <c r="BB48" s="89"/>
    </row>
    <row r="49" spans="1:54" ht="15" thickBot="1" x14ac:dyDescent="0.35">
      <c r="A49" s="50"/>
      <c r="B49" s="50"/>
      <c r="C49" s="50"/>
      <c r="D49" s="50"/>
      <c r="E49" s="50"/>
      <c r="F49" s="50"/>
      <c r="G49" s="50" t="s">
        <v>212</v>
      </c>
      <c r="H49" s="52">
        <v>0</v>
      </c>
      <c r="I49" s="52">
        <v>0</v>
      </c>
      <c r="J49" s="52">
        <v>0</v>
      </c>
      <c r="K49" s="52">
        <v>1254.4000000000001</v>
      </c>
      <c r="L49" s="52">
        <v>851.2</v>
      </c>
      <c r="M49" s="52">
        <v>0</v>
      </c>
      <c r="N49" s="52">
        <v>0</v>
      </c>
      <c r="O49" s="52">
        <v>0</v>
      </c>
      <c r="P49" s="52">
        <v>0</v>
      </c>
      <c r="Q49" s="52">
        <v>0</v>
      </c>
      <c r="R49" s="52">
        <v>0</v>
      </c>
      <c r="S49" s="52">
        <v>0</v>
      </c>
      <c r="T49" s="52"/>
      <c r="U49" s="52">
        <f>ROUND(SUM(H49:T49),5)</f>
        <v>2105.6</v>
      </c>
      <c r="V49" s="52">
        <v>43680</v>
      </c>
      <c r="W49" s="52">
        <v>0</v>
      </c>
      <c r="X49" s="68" t="s">
        <v>297</v>
      </c>
      <c r="AB49" s="86"/>
      <c r="AC49" s="86"/>
      <c r="AD49" s="86"/>
      <c r="AE49" s="86"/>
      <c r="AF49" s="86"/>
      <c r="AG49" s="86"/>
      <c r="AH49" s="87"/>
      <c r="AI49" s="87"/>
      <c r="AJ49" s="87"/>
      <c r="AK49" s="87"/>
      <c r="AL49" s="87"/>
      <c r="AM49" s="87"/>
      <c r="AN49" s="87"/>
      <c r="AO49" s="87"/>
      <c r="AP49" s="87"/>
      <c r="AQ49" s="87"/>
      <c r="AR49" s="87"/>
      <c r="AS49" s="87"/>
      <c r="AT49" s="87"/>
      <c r="AU49" s="87"/>
      <c r="AV49" s="87"/>
      <c r="AW49" s="87"/>
      <c r="AX49" s="87"/>
      <c r="AY49" s="88"/>
      <c r="AZ49" s="88"/>
      <c r="BA49" s="88"/>
      <c r="BB49" s="89"/>
    </row>
    <row r="50" spans="1:54" x14ac:dyDescent="0.3">
      <c r="A50" s="50"/>
      <c r="B50" s="50"/>
      <c r="C50" s="50"/>
      <c r="D50" s="50"/>
      <c r="E50" s="50"/>
      <c r="F50" s="50" t="s">
        <v>278</v>
      </c>
      <c r="G50" s="50"/>
      <c r="H50" s="51">
        <f t="shared" ref="H50:P50" si="21">ROUND(SUM(H48:H49),5)</f>
        <v>0</v>
      </c>
      <c r="I50" s="51">
        <f t="shared" si="21"/>
        <v>0</v>
      </c>
      <c r="J50" s="51">
        <f t="shared" si="21"/>
        <v>0</v>
      </c>
      <c r="K50" s="51">
        <f t="shared" si="21"/>
        <v>1254.4000000000001</v>
      </c>
      <c r="L50" s="51">
        <f t="shared" si="21"/>
        <v>851.2</v>
      </c>
      <c r="M50" s="51">
        <f t="shared" si="21"/>
        <v>0</v>
      </c>
      <c r="N50" s="51">
        <f t="shared" si="21"/>
        <v>0</v>
      </c>
      <c r="O50" s="51">
        <f t="shared" si="21"/>
        <v>0</v>
      </c>
      <c r="P50" s="51">
        <f t="shared" si="21"/>
        <v>0</v>
      </c>
      <c r="Q50" s="51">
        <f>ROUND(SUM(Q48:Q49),5)</f>
        <v>0</v>
      </c>
      <c r="R50" s="51">
        <f>ROUND(SUM(R48:R49),5)</f>
        <v>0</v>
      </c>
      <c r="S50" s="51">
        <f>ROUND(SUM(S48:S49),5)</f>
        <v>0</v>
      </c>
      <c r="T50" s="51"/>
      <c r="U50" s="51">
        <f>ROUND(SUM(H50:T50),5)</f>
        <v>2105.6</v>
      </c>
      <c r="V50" s="51">
        <f>ROUND(SUM(V48:V49),5)</f>
        <v>43680</v>
      </c>
      <c r="W50" s="51">
        <f>ROUND(SUM(W48:W49),5)</f>
        <v>0</v>
      </c>
      <c r="AB50" s="86"/>
      <c r="AC50" s="86"/>
      <c r="AD50" s="86"/>
      <c r="AE50" s="86"/>
      <c r="AF50" s="86"/>
      <c r="AG50" s="86"/>
      <c r="AH50" s="87"/>
      <c r="AI50" s="87"/>
      <c r="AJ50" s="87"/>
      <c r="AK50" s="87"/>
      <c r="AL50" s="87"/>
      <c r="AM50" s="87"/>
      <c r="AN50" s="87"/>
      <c r="AO50" s="87"/>
      <c r="AP50" s="87"/>
      <c r="AQ50" s="87"/>
      <c r="AR50" s="87"/>
      <c r="AS50" s="87"/>
      <c r="AT50" s="87"/>
      <c r="AU50" s="87"/>
      <c r="AV50" s="87"/>
      <c r="AW50" s="87"/>
      <c r="AX50" s="87"/>
      <c r="AY50" s="88"/>
      <c r="AZ50" s="88"/>
      <c r="BA50" s="88"/>
      <c r="BB50" s="89"/>
    </row>
    <row r="51" spans="1:54" x14ac:dyDescent="0.3">
      <c r="A51" s="50"/>
      <c r="B51" s="50"/>
      <c r="C51" s="50"/>
      <c r="D51" s="50"/>
      <c r="E51" s="50"/>
      <c r="F51" s="50" t="s">
        <v>111</v>
      </c>
      <c r="G51" s="50"/>
      <c r="H51" s="51"/>
      <c r="I51" s="51"/>
      <c r="J51" s="51"/>
      <c r="K51" s="51"/>
      <c r="L51" s="51"/>
      <c r="M51" s="51"/>
      <c r="N51" s="51"/>
      <c r="O51" s="51"/>
      <c r="P51" s="51"/>
      <c r="Q51" s="51"/>
      <c r="R51" s="51"/>
      <c r="S51" s="51"/>
      <c r="T51" s="51"/>
      <c r="U51" s="51"/>
      <c r="V51" s="51"/>
      <c r="W51" s="51"/>
      <c r="AB51" s="86"/>
      <c r="AC51" s="86"/>
      <c r="AD51" s="86"/>
      <c r="AE51" s="86"/>
      <c r="AF51" s="86" t="s">
        <v>111</v>
      </c>
      <c r="AG51" s="86"/>
      <c r="AH51" s="87"/>
      <c r="AI51" s="87"/>
      <c r="AJ51" s="87"/>
      <c r="AK51" s="87"/>
      <c r="AL51" s="87"/>
      <c r="AM51" s="87"/>
      <c r="AN51" s="87"/>
      <c r="AO51" s="87"/>
      <c r="AP51" s="87"/>
      <c r="AQ51" s="87"/>
      <c r="AR51" s="87"/>
      <c r="AS51" s="87"/>
      <c r="AT51" s="87"/>
      <c r="AU51" s="87"/>
      <c r="AV51" s="87"/>
      <c r="AW51" s="87"/>
      <c r="AX51" s="87"/>
      <c r="AY51" s="88"/>
      <c r="AZ51" s="88"/>
      <c r="BA51" s="88"/>
      <c r="BB51" s="89"/>
    </row>
    <row r="52" spans="1:54" x14ac:dyDescent="0.3">
      <c r="A52" s="50"/>
      <c r="B52" s="50"/>
      <c r="C52" s="50"/>
      <c r="D52" s="50"/>
      <c r="E52" s="50"/>
      <c r="F52" s="50"/>
      <c r="G52" s="50" t="s">
        <v>112</v>
      </c>
      <c r="H52" s="51">
        <v>1363.28</v>
      </c>
      <c r="I52" s="51">
        <v>1867.01</v>
      </c>
      <c r="J52" s="51">
        <v>656.6</v>
      </c>
      <c r="K52" s="51">
        <v>1950.84</v>
      </c>
      <c r="L52" s="51">
        <v>1313.48</v>
      </c>
      <c r="M52" s="51">
        <v>1320.95</v>
      </c>
      <c r="N52" s="51">
        <v>1321.44</v>
      </c>
      <c r="O52" s="51">
        <v>1329.6</v>
      </c>
      <c r="P52" s="51">
        <v>1319.97</v>
      </c>
      <c r="Q52" s="51">
        <v>1985.98</v>
      </c>
      <c r="R52" s="51">
        <v>1221.78</v>
      </c>
      <c r="S52" s="51">
        <v>1197.02</v>
      </c>
      <c r="T52" s="51"/>
      <c r="U52" s="51">
        <f>ROUND(SUM(H52:T52),5)</f>
        <v>16847.95</v>
      </c>
      <c r="V52" s="51">
        <v>21000</v>
      </c>
      <c r="W52" s="51">
        <v>23000</v>
      </c>
      <c r="X52" s="68" t="s">
        <v>207</v>
      </c>
      <c r="AB52" s="86"/>
      <c r="AC52" s="86"/>
      <c r="AD52" s="86"/>
      <c r="AE52" s="86"/>
      <c r="AF52" s="86"/>
      <c r="AG52" s="86" t="s">
        <v>112</v>
      </c>
      <c r="AH52" s="87"/>
      <c r="AI52" s="87"/>
      <c r="AJ52" s="87"/>
      <c r="AK52" s="87"/>
      <c r="AL52" s="87">
        <v>1292.3</v>
      </c>
      <c r="AM52" s="87">
        <v>1764.12</v>
      </c>
      <c r="AN52" s="87">
        <v>589.02</v>
      </c>
      <c r="AO52" s="87">
        <v>2195.9699999999998</v>
      </c>
      <c r="AP52" s="87">
        <v>1217.4100000000001</v>
      </c>
      <c r="AQ52" s="87">
        <v>1220.48</v>
      </c>
      <c r="AR52" s="87">
        <v>1228.23</v>
      </c>
      <c r="AS52" s="87">
        <v>1225.46</v>
      </c>
      <c r="AT52" s="87">
        <v>1234.52</v>
      </c>
      <c r="AU52" s="87">
        <v>1839.28</v>
      </c>
      <c r="AV52" s="87">
        <v>1239.45</v>
      </c>
      <c r="AW52" s="87">
        <v>1365.34</v>
      </c>
      <c r="AX52" s="87"/>
      <c r="AY52" s="88">
        <f>ROUND(SUM(AH52:AX52),5)</f>
        <v>16411.580000000002</v>
      </c>
      <c r="AZ52" s="88">
        <v>16100</v>
      </c>
      <c r="BA52" s="88">
        <v>21000</v>
      </c>
      <c r="BB52" s="89" t="s">
        <v>207</v>
      </c>
    </row>
    <row r="53" spans="1:54" ht="15" thickBot="1" x14ac:dyDescent="0.35">
      <c r="A53" s="50"/>
      <c r="B53" s="50"/>
      <c r="C53" s="50"/>
      <c r="D53" s="50"/>
      <c r="E53" s="50"/>
      <c r="F53" s="50"/>
      <c r="G53" s="50" t="s">
        <v>113</v>
      </c>
      <c r="H53" s="52">
        <v>0</v>
      </c>
      <c r="I53" s="52">
        <v>626.04</v>
      </c>
      <c r="J53" s="52">
        <v>-626.04</v>
      </c>
      <c r="K53" s="52">
        <v>0</v>
      </c>
      <c r="L53" s="52">
        <v>0</v>
      </c>
      <c r="M53" s="52">
        <v>0</v>
      </c>
      <c r="N53" s="52">
        <v>0</v>
      </c>
      <c r="O53" s="52">
        <v>0</v>
      </c>
      <c r="P53" s="52">
        <v>0</v>
      </c>
      <c r="Q53" s="52">
        <v>0</v>
      </c>
      <c r="R53" s="52">
        <v>0</v>
      </c>
      <c r="S53" s="52">
        <v>0</v>
      </c>
      <c r="T53" s="52"/>
      <c r="U53" s="52">
        <f>ROUND(SUM(H53:T53),5)</f>
        <v>0</v>
      </c>
      <c r="V53" s="52">
        <v>0</v>
      </c>
      <c r="W53" s="52">
        <v>0</v>
      </c>
      <c r="AB53" s="86"/>
      <c r="AC53" s="86"/>
      <c r="AD53" s="86"/>
      <c r="AE53" s="86"/>
      <c r="AF53" s="86"/>
      <c r="AG53" s="86" t="s">
        <v>113</v>
      </c>
      <c r="AH53" s="90"/>
      <c r="AI53" s="90"/>
      <c r="AJ53" s="90"/>
      <c r="AK53" s="90"/>
      <c r="AL53" s="90">
        <v>126.98</v>
      </c>
      <c r="AM53" s="90">
        <v>589.03</v>
      </c>
      <c r="AN53" s="90">
        <v>-589.03</v>
      </c>
      <c r="AO53" s="90">
        <v>0</v>
      </c>
      <c r="AP53" s="90">
        <v>0</v>
      </c>
      <c r="AQ53" s="90">
        <v>0</v>
      </c>
      <c r="AR53" s="90">
        <v>0</v>
      </c>
      <c r="AS53" s="90">
        <v>0</v>
      </c>
      <c r="AT53" s="90">
        <v>0</v>
      </c>
      <c r="AU53" s="90">
        <v>0</v>
      </c>
      <c r="AV53" s="90">
        <v>0</v>
      </c>
      <c r="AW53" s="90">
        <v>-126.98</v>
      </c>
      <c r="AX53" s="90"/>
      <c r="AY53" s="91">
        <f>ROUND(SUM(AH53:AX53),5)</f>
        <v>0</v>
      </c>
      <c r="AZ53" s="91">
        <v>0</v>
      </c>
      <c r="BA53" s="91">
        <v>0</v>
      </c>
      <c r="BB53" s="92"/>
    </row>
    <row r="54" spans="1:54" x14ac:dyDescent="0.3">
      <c r="A54" s="50"/>
      <c r="B54" s="50"/>
      <c r="C54" s="50"/>
      <c r="D54" s="50"/>
      <c r="E54" s="50"/>
      <c r="F54" s="50" t="s">
        <v>114</v>
      </c>
      <c r="G54" s="50"/>
      <c r="H54" s="51">
        <f t="shared" ref="H54:P54" si="22">ROUND(SUM(H51:H53),5)</f>
        <v>1363.28</v>
      </c>
      <c r="I54" s="51">
        <f t="shared" si="22"/>
        <v>2493.0500000000002</v>
      </c>
      <c r="J54" s="51">
        <f t="shared" si="22"/>
        <v>30.56</v>
      </c>
      <c r="K54" s="51">
        <f t="shared" si="22"/>
        <v>1950.84</v>
      </c>
      <c r="L54" s="51">
        <f t="shared" si="22"/>
        <v>1313.48</v>
      </c>
      <c r="M54" s="51">
        <f t="shared" si="22"/>
        <v>1320.95</v>
      </c>
      <c r="N54" s="51">
        <f t="shared" si="22"/>
        <v>1321.44</v>
      </c>
      <c r="O54" s="51">
        <f t="shared" si="22"/>
        <v>1329.6</v>
      </c>
      <c r="P54" s="51">
        <f t="shared" si="22"/>
        <v>1319.97</v>
      </c>
      <c r="Q54" s="51">
        <f>ROUND(SUM(Q51:Q53),5)</f>
        <v>1985.98</v>
      </c>
      <c r="R54" s="51">
        <f>ROUND(SUM(R51:R53),5)</f>
        <v>1221.78</v>
      </c>
      <c r="S54" s="51">
        <f>ROUND(SUM(S51:S53),5)</f>
        <v>1197.02</v>
      </c>
      <c r="T54" s="51"/>
      <c r="U54" s="51">
        <f>ROUND(SUM(H54:T54),5)</f>
        <v>16847.95</v>
      </c>
      <c r="V54" s="51">
        <f>ROUND(SUM(V51:V53),5)</f>
        <v>21000</v>
      </c>
      <c r="W54" s="51">
        <f>ROUND(SUM(W51:W53),5)</f>
        <v>23000</v>
      </c>
      <c r="AB54" s="86"/>
      <c r="AC54" s="86"/>
      <c r="AD54" s="86"/>
      <c r="AE54" s="86"/>
      <c r="AF54" s="86" t="s">
        <v>114</v>
      </c>
      <c r="AG54" s="86"/>
      <c r="AH54" s="87"/>
      <c r="AI54" s="87"/>
      <c r="AJ54" s="87"/>
      <c r="AK54" s="87"/>
      <c r="AL54" s="87">
        <f t="shared" ref="AL54:AW54" si="23">ROUND(SUM(AL51:AL53),5)</f>
        <v>1419.28</v>
      </c>
      <c r="AM54" s="87">
        <f t="shared" si="23"/>
        <v>2353.15</v>
      </c>
      <c r="AN54" s="87">
        <f t="shared" si="23"/>
        <v>-0.01</v>
      </c>
      <c r="AO54" s="87">
        <f t="shared" si="23"/>
        <v>2195.9699999999998</v>
      </c>
      <c r="AP54" s="87">
        <f t="shared" si="23"/>
        <v>1217.4100000000001</v>
      </c>
      <c r="AQ54" s="87">
        <f t="shared" si="23"/>
        <v>1220.48</v>
      </c>
      <c r="AR54" s="87">
        <f t="shared" si="23"/>
        <v>1228.23</v>
      </c>
      <c r="AS54" s="87">
        <f t="shared" si="23"/>
        <v>1225.46</v>
      </c>
      <c r="AT54" s="87">
        <f t="shared" si="23"/>
        <v>1234.52</v>
      </c>
      <c r="AU54" s="87">
        <f t="shared" si="23"/>
        <v>1839.28</v>
      </c>
      <c r="AV54" s="87">
        <f t="shared" si="23"/>
        <v>1239.45</v>
      </c>
      <c r="AW54" s="87">
        <f t="shared" si="23"/>
        <v>1238.3599999999999</v>
      </c>
      <c r="AX54" s="87"/>
      <c r="AY54" s="88">
        <f>ROUND(SUM(AH54:AX54),5)</f>
        <v>16411.580000000002</v>
      </c>
      <c r="AZ54" s="88">
        <f>ROUND(SUM(AZ51:AZ53),5)</f>
        <v>16100</v>
      </c>
      <c r="BA54" s="88">
        <f>ROUND(SUM(BA51:BA53),5)</f>
        <v>21000</v>
      </c>
      <c r="BB54" s="89"/>
    </row>
    <row r="55" spans="1:54" x14ac:dyDescent="0.3">
      <c r="A55" s="50"/>
      <c r="B55" s="50"/>
      <c r="C55" s="50"/>
      <c r="D55" s="50"/>
      <c r="E55" s="50"/>
      <c r="F55" s="50" t="s">
        <v>115</v>
      </c>
      <c r="G55" s="50"/>
      <c r="H55" s="51"/>
      <c r="I55" s="51"/>
      <c r="J55" s="51"/>
      <c r="K55" s="51"/>
      <c r="L55" s="51"/>
      <c r="M55" s="51"/>
      <c r="N55" s="51"/>
      <c r="O55" s="51"/>
      <c r="P55" s="51"/>
      <c r="Q55" s="51"/>
      <c r="R55" s="51"/>
      <c r="S55" s="51"/>
      <c r="T55" s="51"/>
      <c r="U55" s="51"/>
      <c r="V55" s="51"/>
      <c r="W55" s="51"/>
      <c r="AB55" s="86"/>
      <c r="AC55" s="86"/>
      <c r="AD55" s="86"/>
      <c r="AE55" s="86"/>
      <c r="AF55" s="86" t="s">
        <v>115</v>
      </c>
      <c r="AG55" s="86"/>
      <c r="AH55" s="87"/>
      <c r="AI55" s="87"/>
      <c r="AJ55" s="87"/>
      <c r="AK55" s="87"/>
      <c r="AL55" s="87"/>
      <c r="AM55" s="87"/>
      <c r="AN55" s="87"/>
      <c r="AO55" s="87"/>
      <c r="AP55" s="87"/>
      <c r="AQ55" s="87"/>
      <c r="AR55" s="87"/>
      <c r="AS55" s="87"/>
      <c r="AT55" s="87"/>
      <c r="AU55" s="87"/>
      <c r="AV55" s="87"/>
      <c r="AW55" s="87"/>
      <c r="AX55" s="87"/>
      <c r="AY55" s="88"/>
      <c r="AZ55" s="88"/>
      <c r="BA55" s="88"/>
      <c r="BB55" s="89"/>
    </row>
    <row r="56" spans="1:54" ht="21.6" x14ac:dyDescent="0.3">
      <c r="A56" s="50"/>
      <c r="B56" s="50"/>
      <c r="C56" s="50"/>
      <c r="D56" s="50"/>
      <c r="E56" s="50"/>
      <c r="F56" s="50"/>
      <c r="G56" s="50" t="s">
        <v>116</v>
      </c>
      <c r="H56" s="51">
        <v>543.91</v>
      </c>
      <c r="I56" s="51">
        <v>1118.73</v>
      </c>
      <c r="J56" s="51">
        <v>1323.72</v>
      </c>
      <c r="K56" s="51">
        <v>1471.73</v>
      </c>
      <c r="L56" s="51">
        <v>1019.6</v>
      </c>
      <c r="M56" s="51">
        <v>1547.22</v>
      </c>
      <c r="N56" s="51">
        <v>2208.17</v>
      </c>
      <c r="O56" s="51">
        <v>1186.3499999999999</v>
      </c>
      <c r="P56" s="51">
        <v>1171.55</v>
      </c>
      <c r="Q56" s="51">
        <v>1756.31</v>
      </c>
      <c r="R56" s="51">
        <v>1044.3</v>
      </c>
      <c r="S56" s="51">
        <v>1929.56</v>
      </c>
      <c r="T56" s="51"/>
      <c r="U56" s="51">
        <f>ROUND(SUM(H56:T56),5)</f>
        <v>16321.15</v>
      </c>
      <c r="V56" s="51">
        <v>18771</v>
      </c>
      <c r="W56" s="51">
        <v>20000</v>
      </c>
      <c r="X56" s="68" t="s">
        <v>208</v>
      </c>
      <c r="AB56" s="86"/>
      <c r="AC56" s="86"/>
      <c r="AD56" s="86"/>
      <c r="AE56" s="86"/>
      <c r="AF56" s="86"/>
      <c r="AG56" s="86" t="s">
        <v>116</v>
      </c>
      <c r="AH56" s="87"/>
      <c r="AI56" s="87"/>
      <c r="AJ56" s="87"/>
      <c r="AK56" s="87"/>
      <c r="AL56" s="87">
        <v>559.08000000000004</v>
      </c>
      <c r="AM56" s="87">
        <v>1068.06</v>
      </c>
      <c r="AN56" s="87">
        <v>1141.78</v>
      </c>
      <c r="AO56" s="87">
        <v>1828.14</v>
      </c>
      <c r="AP56" s="87">
        <v>890.47</v>
      </c>
      <c r="AQ56" s="87">
        <v>1187.93</v>
      </c>
      <c r="AR56" s="87">
        <v>1531.32</v>
      </c>
      <c r="AS56" s="87">
        <v>1084.8</v>
      </c>
      <c r="AT56" s="87">
        <v>1092.3599999999999</v>
      </c>
      <c r="AU56" s="87">
        <v>2075.37</v>
      </c>
      <c r="AV56" s="87">
        <v>1667.7</v>
      </c>
      <c r="AW56" s="87">
        <v>1411.65</v>
      </c>
      <c r="AX56" s="87"/>
      <c r="AY56" s="88">
        <f>ROUND(SUM(AH56:AX56),5)</f>
        <v>15538.66</v>
      </c>
      <c r="AZ56" s="88">
        <v>19000</v>
      </c>
      <c r="BA56" s="88">
        <f>ROUND((BA43+BA45+BA46+BA76)*0.062,0)</f>
        <v>18771</v>
      </c>
      <c r="BB56" s="89" t="s">
        <v>208</v>
      </c>
    </row>
    <row r="57" spans="1:54" ht="22.2" thickBot="1" x14ac:dyDescent="0.35">
      <c r="A57" s="50"/>
      <c r="B57" s="50"/>
      <c r="C57" s="50"/>
      <c r="D57" s="50"/>
      <c r="E57" s="50"/>
      <c r="F57" s="50"/>
      <c r="G57" s="50" t="s">
        <v>117</v>
      </c>
      <c r="H57" s="52">
        <v>127.2</v>
      </c>
      <c r="I57" s="52">
        <v>261.66000000000003</v>
      </c>
      <c r="J57" s="52">
        <v>309.60000000000002</v>
      </c>
      <c r="K57" s="52">
        <v>344.23</v>
      </c>
      <c r="L57" s="52">
        <v>238.47</v>
      </c>
      <c r="M57" s="52">
        <v>361.87</v>
      </c>
      <c r="N57" s="52">
        <v>516.42999999999995</v>
      </c>
      <c r="O57" s="52">
        <v>277.47000000000003</v>
      </c>
      <c r="P57" s="52">
        <v>274.01</v>
      </c>
      <c r="Q57" s="52">
        <v>410.79</v>
      </c>
      <c r="R57" s="52">
        <v>244.22</v>
      </c>
      <c r="S57" s="52">
        <v>451.33</v>
      </c>
      <c r="T57" s="52"/>
      <c r="U57" s="52">
        <f>ROUND(SUM(H57:T57),5)</f>
        <v>3817.28</v>
      </c>
      <c r="V57" s="52">
        <v>4390</v>
      </c>
      <c r="W57" s="52">
        <v>4600</v>
      </c>
      <c r="X57" s="68" t="s">
        <v>208</v>
      </c>
      <c r="AB57" s="86"/>
      <c r="AC57" s="86"/>
      <c r="AD57" s="86"/>
      <c r="AE57" s="86"/>
      <c r="AF57" s="86"/>
      <c r="AG57" s="86" t="s">
        <v>117</v>
      </c>
      <c r="AH57" s="90"/>
      <c r="AI57" s="90"/>
      <c r="AJ57" s="90"/>
      <c r="AK57" s="90"/>
      <c r="AL57" s="90">
        <v>130.76</v>
      </c>
      <c r="AM57" s="90">
        <v>249.81</v>
      </c>
      <c r="AN57" s="90">
        <v>267.06</v>
      </c>
      <c r="AO57" s="90">
        <v>427.6</v>
      </c>
      <c r="AP57" s="90">
        <v>208.26</v>
      </c>
      <c r="AQ57" s="90">
        <v>277.83999999999997</v>
      </c>
      <c r="AR57" s="90">
        <v>358.11</v>
      </c>
      <c r="AS57" s="90">
        <v>253.72</v>
      </c>
      <c r="AT57" s="90">
        <v>255.51</v>
      </c>
      <c r="AU57" s="90">
        <v>485.42</v>
      </c>
      <c r="AV57" s="90">
        <v>390.03</v>
      </c>
      <c r="AW57" s="90">
        <v>330.2</v>
      </c>
      <c r="AX57" s="90"/>
      <c r="AY57" s="91">
        <f>ROUND(SUM(AH57:AX57),5)</f>
        <v>3634.32</v>
      </c>
      <c r="AZ57" s="91">
        <v>4000</v>
      </c>
      <c r="BA57" s="91">
        <f>ROUND((BA43+BA45+BA46+BA76)*0.0145,0)</f>
        <v>4390</v>
      </c>
      <c r="BB57" s="92" t="s">
        <v>208</v>
      </c>
    </row>
    <row r="58" spans="1:54" x14ac:dyDescent="0.3">
      <c r="A58" s="50"/>
      <c r="B58" s="50"/>
      <c r="C58" s="50"/>
      <c r="D58" s="50"/>
      <c r="E58" s="50"/>
      <c r="F58" s="50" t="s">
        <v>118</v>
      </c>
      <c r="G58" s="50"/>
      <c r="H58" s="51">
        <f t="shared" ref="H58:P58" si="24">ROUND(SUM(H55:H57),5)</f>
        <v>671.11</v>
      </c>
      <c r="I58" s="51">
        <f t="shared" si="24"/>
        <v>1380.39</v>
      </c>
      <c r="J58" s="51">
        <f t="shared" si="24"/>
        <v>1633.32</v>
      </c>
      <c r="K58" s="51">
        <f t="shared" si="24"/>
        <v>1815.96</v>
      </c>
      <c r="L58" s="51">
        <f t="shared" si="24"/>
        <v>1258.07</v>
      </c>
      <c r="M58" s="51">
        <f t="shared" si="24"/>
        <v>1909.09</v>
      </c>
      <c r="N58" s="51">
        <f t="shared" si="24"/>
        <v>2724.6</v>
      </c>
      <c r="O58" s="51">
        <f t="shared" si="24"/>
        <v>1463.82</v>
      </c>
      <c r="P58" s="51">
        <f t="shared" si="24"/>
        <v>1445.56</v>
      </c>
      <c r="Q58" s="51">
        <f>ROUND(SUM(Q55:Q57),5)</f>
        <v>2167.1</v>
      </c>
      <c r="R58" s="51">
        <f>ROUND(SUM(R55:R57),5)</f>
        <v>1288.52</v>
      </c>
      <c r="S58" s="51">
        <f>ROUND(SUM(S55:S57),5)</f>
        <v>2380.89</v>
      </c>
      <c r="T58" s="51"/>
      <c r="U58" s="51">
        <f>ROUND(SUM(H58:T58),5)</f>
        <v>20138.43</v>
      </c>
      <c r="V58" s="51">
        <f>ROUND(SUM(V55:V57),5)</f>
        <v>23161</v>
      </c>
      <c r="W58" s="51">
        <f>ROUND(SUM(W55:W57),5)</f>
        <v>24600</v>
      </c>
      <c r="AB58" s="86"/>
      <c r="AC58" s="86"/>
      <c r="AD58" s="86"/>
      <c r="AE58" s="86"/>
      <c r="AF58" s="86" t="s">
        <v>118</v>
      </c>
      <c r="AG58" s="86"/>
      <c r="AH58" s="87"/>
      <c r="AI58" s="87"/>
      <c r="AJ58" s="87"/>
      <c r="AK58" s="87"/>
      <c r="AL58" s="87">
        <f t="shared" ref="AL58:AW58" si="25">ROUND(SUM(AL55:AL57),5)</f>
        <v>689.84</v>
      </c>
      <c r="AM58" s="87">
        <f t="shared" si="25"/>
        <v>1317.87</v>
      </c>
      <c r="AN58" s="87">
        <f t="shared" si="25"/>
        <v>1408.84</v>
      </c>
      <c r="AO58" s="87">
        <f t="shared" si="25"/>
        <v>2255.7399999999998</v>
      </c>
      <c r="AP58" s="87">
        <f t="shared" si="25"/>
        <v>1098.73</v>
      </c>
      <c r="AQ58" s="87">
        <f t="shared" si="25"/>
        <v>1465.77</v>
      </c>
      <c r="AR58" s="87">
        <f t="shared" si="25"/>
        <v>1889.43</v>
      </c>
      <c r="AS58" s="87">
        <f t="shared" si="25"/>
        <v>1338.52</v>
      </c>
      <c r="AT58" s="87">
        <f t="shared" si="25"/>
        <v>1347.87</v>
      </c>
      <c r="AU58" s="87">
        <f t="shared" si="25"/>
        <v>2560.79</v>
      </c>
      <c r="AV58" s="87">
        <f t="shared" si="25"/>
        <v>2057.73</v>
      </c>
      <c r="AW58" s="87">
        <f t="shared" si="25"/>
        <v>1741.85</v>
      </c>
      <c r="AX58" s="87"/>
      <c r="AY58" s="88">
        <f>ROUND(SUM(AH58:AX58),5)</f>
        <v>19172.98</v>
      </c>
      <c r="AZ58" s="88">
        <f>ROUND(SUM(AZ55:AZ57),5)</f>
        <v>23000</v>
      </c>
      <c r="BA58" s="88">
        <f>ROUND(SUM(BA55:BA57),5)</f>
        <v>23161</v>
      </c>
      <c r="BB58" s="89"/>
    </row>
    <row r="59" spans="1:54" x14ac:dyDescent="0.3">
      <c r="A59" s="50"/>
      <c r="B59" s="50"/>
      <c r="C59" s="50"/>
      <c r="D59" s="50"/>
      <c r="E59" s="50"/>
      <c r="F59" s="50" t="s">
        <v>119</v>
      </c>
      <c r="G59" s="50"/>
      <c r="H59" s="51"/>
      <c r="I59" s="51"/>
      <c r="J59" s="51"/>
      <c r="K59" s="51"/>
      <c r="L59" s="51"/>
      <c r="M59" s="51"/>
      <c r="N59" s="51"/>
      <c r="O59" s="51"/>
      <c r="P59" s="51"/>
      <c r="Q59" s="51"/>
      <c r="R59" s="51"/>
      <c r="S59" s="51"/>
      <c r="T59" s="51"/>
      <c r="U59" s="51"/>
      <c r="V59" s="51"/>
      <c r="W59" s="51"/>
      <c r="AB59" s="86"/>
      <c r="AC59" s="86"/>
      <c r="AD59" s="86"/>
      <c r="AE59" s="86"/>
      <c r="AF59" s="86" t="s">
        <v>119</v>
      </c>
      <c r="AG59" s="86"/>
      <c r="AH59" s="87"/>
      <c r="AI59" s="87"/>
      <c r="AJ59" s="87"/>
      <c r="AK59" s="87"/>
      <c r="AL59" s="87"/>
      <c r="AM59" s="87"/>
      <c r="AN59" s="87"/>
      <c r="AO59" s="87"/>
      <c r="AP59" s="87"/>
      <c r="AQ59" s="87"/>
      <c r="AR59" s="87"/>
      <c r="AS59" s="87"/>
      <c r="AT59" s="87"/>
      <c r="AU59" s="87"/>
      <c r="AV59" s="87"/>
      <c r="AW59" s="87"/>
      <c r="AX59" s="87"/>
      <c r="AY59" s="88"/>
      <c r="AZ59" s="88"/>
      <c r="BA59" s="88"/>
      <c r="BB59" s="89"/>
    </row>
    <row r="60" spans="1:54" x14ac:dyDescent="0.3">
      <c r="A60" s="50"/>
      <c r="B60" s="50"/>
      <c r="C60" s="50"/>
      <c r="D60" s="50"/>
      <c r="E60" s="50"/>
      <c r="F60" s="50"/>
      <c r="G60" s="50" t="s">
        <v>120</v>
      </c>
      <c r="H60" s="51">
        <v>7851.47</v>
      </c>
      <c r="I60" s="51">
        <v>3925.93</v>
      </c>
      <c r="J60" s="51">
        <v>0</v>
      </c>
      <c r="K60" s="51">
        <v>3925.93</v>
      </c>
      <c r="L60" s="51">
        <v>3254.42</v>
      </c>
      <c r="M60" s="51">
        <v>3254.42</v>
      </c>
      <c r="N60" s="51">
        <v>3379.51</v>
      </c>
      <c r="O60" s="51">
        <v>3379.51</v>
      </c>
      <c r="P60" s="51">
        <v>3379.51</v>
      </c>
      <c r="Q60" s="51">
        <v>3379.51</v>
      </c>
      <c r="R60" s="51">
        <v>3379.51</v>
      </c>
      <c r="S60" s="51">
        <v>3379.51</v>
      </c>
      <c r="T60" s="51"/>
      <c r="U60" s="51">
        <f>ROUND(SUM(H60:T60),5)</f>
        <v>42489.23</v>
      </c>
      <c r="V60" s="67">
        <v>60000</v>
      </c>
      <c r="W60" s="67">
        <v>50000</v>
      </c>
      <c r="X60" s="68" t="s">
        <v>207</v>
      </c>
      <c r="AB60" s="86"/>
      <c r="AC60" s="86"/>
      <c r="AD60" s="86"/>
      <c r="AE60" s="86"/>
      <c r="AF60" s="86"/>
      <c r="AG60" s="86" t="s">
        <v>120</v>
      </c>
      <c r="AH60" s="87"/>
      <c r="AI60" s="87"/>
      <c r="AJ60" s="87"/>
      <c r="AK60" s="87"/>
      <c r="AL60" s="87">
        <v>3878.65</v>
      </c>
      <c r="AM60" s="87">
        <v>3212.66</v>
      </c>
      <c r="AN60" s="87">
        <v>0</v>
      </c>
      <c r="AO60" s="87">
        <v>3212.66</v>
      </c>
      <c r="AP60" s="87">
        <v>3212.66</v>
      </c>
      <c r="AQ60" s="87">
        <v>3212.66</v>
      </c>
      <c r="AR60" s="87">
        <v>3254.09</v>
      </c>
      <c r="AS60" s="87">
        <v>3254.09</v>
      </c>
      <c r="AT60" s="87">
        <v>4596.99</v>
      </c>
      <c r="AU60" s="87">
        <v>3925.54</v>
      </c>
      <c r="AV60" s="87">
        <v>5212.17</v>
      </c>
      <c r="AW60" s="87">
        <v>8800.1</v>
      </c>
      <c r="AX60" s="87"/>
      <c r="AY60" s="88">
        <f>ROUND(SUM(AH60:AX60),5)</f>
        <v>45772.27</v>
      </c>
      <c r="AZ60" s="88">
        <v>60000</v>
      </c>
      <c r="BA60" s="88">
        <v>60000</v>
      </c>
      <c r="BB60" s="89" t="s">
        <v>207</v>
      </c>
    </row>
    <row r="61" spans="1:54" x14ac:dyDescent="0.3">
      <c r="A61" s="50"/>
      <c r="B61" s="50"/>
      <c r="C61" s="50"/>
      <c r="D61" s="50"/>
      <c r="E61" s="50"/>
      <c r="F61" s="50"/>
      <c r="G61" s="50" t="s">
        <v>121</v>
      </c>
      <c r="H61" s="51">
        <v>147.69</v>
      </c>
      <c r="I61" s="51">
        <v>0</v>
      </c>
      <c r="J61" s="51">
        <v>0</v>
      </c>
      <c r="K61" s="51">
        <v>49.23</v>
      </c>
      <c r="L61" s="51">
        <v>71.760000000000005</v>
      </c>
      <c r="M61" s="51">
        <v>80.66</v>
      </c>
      <c r="N61" s="51">
        <v>40.33</v>
      </c>
      <c r="O61" s="51">
        <v>0</v>
      </c>
      <c r="P61" s="51">
        <v>80.66</v>
      </c>
      <c r="Q61" s="51">
        <v>0</v>
      </c>
      <c r="R61" s="51">
        <v>49.23</v>
      </c>
      <c r="S61" s="51">
        <v>65.28</v>
      </c>
      <c r="T61" s="51"/>
      <c r="U61" s="51">
        <f>ROUND(SUM(H61:T61),5)</f>
        <v>584.84</v>
      </c>
      <c r="V61" s="67">
        <v>1000</v>
      </c>
      <c r="W61" s="67">
        <v>800</v>
      </c>
      <c r="X61" s="68" t="s">
        <v>207</v>
      </c>
      <c r="AB61" s="86"/>
      <c r="AC61" s="86"/>
      <c r="AD61" s="86"/>
      <c r="AE61" s="86"/>
      <c r="AF61" s="86"/>
      <c r="AG61" s="86" t="s">
        <v>121</v>
      </c>
      <c r="AH61" s="87"/>
      <c r="AI61" s="87"/>
      <c r="AJ61" s="87"/>
      <c r="AK61" s="87"/>
      <c r="AL61" s="87">
        <v>46.72</v>
      </c>
      <c r="AM61" s="87">
        <v>40.33</v>
      </c>
      <c r="AN61" s="87">
        <v>40.33</v>
      </c>
      <c r="AO61" s="87">
        <v>40.33</v>
      </c>
      <c r="AP61" s="87">
        <v>40.33</v>
      </c>
      <c r="AQ61" s="87">
        <v>40.33</v>
      </c>
      <c r="AR61" s="87">
        <v>49.23</v>
      </c>
      <c r="AS61" s="87">
        <v>0</v>
      </c>
      <c r="AT61" s="87">
        <v>98.46</v>
      </c>
      <c r="AU61" s="87">
        <v>49.23</v>
      </c>
      <c r="AV61" s="87">
        <v>65.28</v>
      </c>
      <c r="AW61" s="87">
        <v>112</v>
      </c>
      <c r="AX61" s="87"/>
      <c r="AY61" s="88">
        <f>ROUND(SUM(AH61:AX61),5)</f>
        <v>622.57000000000005</v>
      </c>
      <c r="AZ61" s="88">
        <v>850</v>
      </c>
      <c r="BA61" s="88">
        <v>1000</v>
      </c>
      <c r="BB61" s="89" t="s">
        <v>207</v>
      </c>
    </row>
    <row r="62" spans="1:54" ht="15" thickBot="1" x14ac:dyDescent="0.35">
      <c r="A62" s="50"/>
      <c r="B62" s="50"/>
      <c r="C62" s="50"/>
      <c r="D62" s="50"/>
      <c r="E62" s="50"/>
      <c r="F62" s="50"/>
      <c r="G62" s="50" t="s">
        <v>122</v>
      </c>
      <c r="H62" s="52">
        <v>664.72</v>
      </c>
      <c r="I62" s="52">
        <v>332.36</v>
      </c>
      <c r="J62" s="52">
        <v>272.48</v>
      </c>
      <c r="K62" s="52">
        <v>272.48</v>
      </c>
      <c r="L62" s="52">
        <v>272.48</v>
      </c>
      <c r="M62" s="52">
        <v>0</v>
      </c>
      <c r="N62" s="52">
        <v>544.96</v>
      </c>
      <c r="O62" s="52">
        <v>0</v>
      </c>
      <c r="P62" s="52">
        <v>558.6</v>
      </c>
      <c r="Q62" s="52">
        <v>286.12</v>
      </c>
      <c r="R62" s="52">
        <v>286.12</v>
      </c>
      <c r="S62" s="52">
        <v>286.12</v>
      </c>
      <c r="T62" s="52"/>
      <c r="U62" s="52">
        <f>ROUND(SUM(H62:T62),5)</f>
        <v>3776.44</v>
      </c>
      <c r="V62" s="69">
        <v>3800</v>
      </c>
      <c r="W62" s="69">
        <v>3200</v>
      </c>
      <c r="X62" s="68" t="s">
        <v>207</v>
      </c>
      <c r="AB62" s="86"/>
      <c r="AC62" s="86"/>
      <c r="AD62" s="86"/>
      <c r="AE62" s="86"/>
      <c r="AF62" s="86"/>
      <c r="AG62" s="86" t="s">
        <v>122</v>
      </c>
      <c r="AH62" s="90"/>
      <c r="AI62" s="90"/>
      <c r="AJ62" s="90"/>
      <c r="AK62" s="90"/>
      <c r="AL62" s="90">
        <v>332.36</v>
      </c>
      <c r="AM62" s="90">
        <v>272.48</v>
      </c>
      <c r="AN62" s="90">
        <v>272.48</v>
      </c>
      <c r="AO62" s="90">
        <v>272.48</v>
      </c>
      <c r="AP62" s="90">
        <v>272.48</v>
      </c>
      <c r="AQ62" s="90">
        <v>272.48</v>
      </c>
      <c r="AR62" s="90">
        <v>332.36</v>
      </c>
      <c r="AS62" s="90">
        <v>0</v>
      </c>
      <c r="AT62" s="90">
        <v>664.72</v>
      </c>
      <c r="AU62" s="90">
        <v>332.36</v>
      </c>
      <c r="AV62" s="90">
        <v>447.04</v>
      </c>
      <c r="AW62" s="90">
        <v>429.76</v>
      </c>
      <c r="AX62" s="90"/>
      <c r="AY62" s="91">
        <f>ROUND(SUM(AH62:AX62),5)</f>
        <v>3901</v>
      </c>
      <c r="AZ62" s="91">
        <v>4100</v>
      </c>
      <c r="BA62" s="91">
        <v>3800</v>
      </c>
      <c r="BB62" s="92" t="s">
        <v>207</v>
      </c>
    </row>
    <row r="63" spans="1:54" x14ac:dyDescent="0.3">
      <c r="A63" s="50"/>
      <c r="B63" s="50"/>
      <c r="C63" s="50"/>
      <c r="D63" s="50"/>
      <c r="E63" s="50"/>
      <c r="F63" s="50" t="s">
        <v>123</v>
      </c>
      <c r="G63" s="50"/>
      <c r="H63" s="51">
        <f t="shared" ref="H63:P63" si="26">ROUND(SUM(H59:H62),5)</f>
        <v>8663.8799999999992</v>
      </c>
      <c r="I63" s="51">
        <f t="shared" si="26"/>
        <v>4258.29</v>
      </c>
      <c r="J63" s="51">
        <f t="shared" si="26"/>
        <v>272.48</v>
      </c>
      <c r="K63" s="51">
        <f t="shared" si="26"/>
        <v>4247.6400000000003</v>
      </c>
      <c r="L63" s="51">
        <f t="shared" si="26"/>
        <v>3598.66</v>
      </c>
      <c r="M63" s="51">
        <f t="shared" si="26"/>
        <v>3335.08</v>
      </c>
      <c r="N63" s="51">
        <f t="shared" si="26"/>
        <v>3964.8</v>
      </c>
      <c r="O63" s="51">
        <f t="shared" si="26"/>
        <v>3379.51</v>
      </c>
      <c r="P63" s="51">
        <f t="shared" si="26"/>
        <v>4018.77</v>
      </c>
      <c r="Q63" s="51">
        <f>ROUND(SUM(Q59:Q62),5)</f>
        <v>3665.63</v>
      </c>
      <c r="R63" s="51">
        <f>ROUND(SUM(R59:R62),5)</f>
        <v>3714.86</v>
      </c>
      <c r="S63" s="51">
        <f>ROUND(SUM(S59:S62),5)</f>
        <v>3730.91</v>
      </c>
      <c r="T63" s="51"/>
      <c r="U63" s="51">
        <f>ROUND(SUM(H63:T63),5)</f>
        <v>46850.51</v>
      </c>
      <c r="V63" s="51">
        <f>ROUND(SUM(V59:V62),5)</f>
        <v>64800</v>
      </c>
      <c r="W63" s="51">
        <f>ROUND(SUM(W59:W62),5)</f>
        <v>54000</v>
      </c>
      <c r="AB63" s="86"/>
      <c r="AC63" s="86"/>
      <c r="AD63" s="86"/>
      <c r="AE63" s="86"/>
      <c r="AF63" s="86" t="s">
        <v>123</v>
      </c>
      <c r="AG63" s="86"/>
      <c r="AH63" s="87"/>
      <c r="AI63" s="87"/>
      <c r="AJ63" s="87"/>
      <c r="AK63" s="87"/>
      <c r="AL63" s="87">
        <f t="shared" ref="AL63:AW63" si="27">ROUND(SUM(AL59:AL62),5)</f>
        <v>4257.7299999999996</v>
      </c>
      <c r="AM63" s="87">
        <f t="shared" si="27"/>
        <v>3525.47</v>
      </c>
      <c r="AN63" s="87">
        <f t="shared" si="27"/>
        <v>312.81</v>
      </c>
      <c r="AO63" s="87">
        <f t="shared" si="27"/>
        <v>3525.47</v>
      </c>
      <c r="AP63" s="87">
        <f t="shared" si="27"/>
        <v>3525.47</v>
      </c>
      <c r="AQ63" s="87">
        <f t="shared" si="27"/>
        <v>3525.47</v>
      </c>
      <c r="AR63" s="87">
        <f t="shared" si="27"/>
        <v>3635.68</v>
      </c>
      <c r="AS63" s="87">
        <f t="shared" si="27"/>
        <v>3254.09</v>
      </c>
      <c r="AT63" s="87">
        <f t="shared" si="27"/>
        <v>5360.17</v>
      </c>
      <c r="AU63" s="87">
        <f t="shared" si="27"/>
        <v>4307.13</v>
      </c>
      <c r="AV63" s="87">
        <f t="shared" si="27"/>
        <v>5724.49</v>
      </c>
      <c r="AW63" s="87">
        <f t="shared" si="27"/>
        <v>9341.86</v>
      </c>
      <c r="AX63" s="87"/>
      <c r="AY63" s="88">
        <f>ROUND(SUM(AH63:AX63),5)</f>
        <v>50295.839999999997</v>
      </c>
      <c r="AZ63" s="88">
        <f>ROUND(SUM(AZ59:AZ62),5)</f>
        <v>64950</v>
      </c>
      <c r="BA63" s="88">
        <f>ROUND(SUM(BA59:BA62),5)</f>
        <v>64800</v>
      </c>
      <c r="BB63" s="89"/>
    </row>
    <row r="64" spans="1:54" x14ac:dyDescent="0.3">
      <c r="A64" s="50"/>
      <c r="B64" s="50"/>
      <c r="C64" s="50"/>
      <c r="D64" s="50"/>
      <c r="E64" s="50"/>
      <c r="F64" s="50" t="s">
        <v>124</v>
      </c>
      <c r="G64" s="50"/>
      <c r="H64" s="51"/>
      <c r="I64" s="51"/>
      <c r="J64" s="51"/>
      <c r="K64" s="51"/>
      <c r="L64" s="51"/>
      <c r="M64" s="51"/>
      <c r="N64" s="51"/>
      <c r="O64" s="51"/>
      <c r="P64" s="51"/>
      <c r="Q64" s="51"/>
      <c r="R64" s="51"/>
      <c r="S64" s="51"/>
      <c r="T64" s="51"/>
      <c r="U64" s="51"/>
      <c r="V64" s="51"/>
      <c r="W64" s="51"/>
      <c r="AB64" s="86"/>
      <c r="AC64" s="86"/>
      <c r="AD64" s="86"/>
      <c r="AE64" s="86"/>
      <c r="AF64" s="86" t="s">
        <v>124</v>
      </c>
      <c r="AG64" s="86"/>
      <c r="AH64" s="87"/>
      <c r="AI64" s="87"/>
      <c r="AJ64" s="87"/>
      <c r="AK64" s="87"/>
      <c r="AL64" s="87"/>
      <c r="AM64" s="87"/>
      <c r="AN64" s="87"/>
      <c r="AO64" s="87"/>
      <c r="AP64" s="87"/>
      <c r="AQ64" s="87"/>
      <c r="AR64" s="87"/>
      <c r="AS64" s="87"/>
      <c r="AT64" s="87"/>
      <c r="AU64" s="87"/>
      <c r="AV64" s="87"/>
      <c r="AW64" s="87"/>
      <c r="AX64" s="87"/>
      <c r="AY64" s="88"/>
      <c r="AZ64" s="88"/>
      <c r="BA64" s="88"/>
      <c r="BB64" s="89"/>
    </row>
    <row r="65" spans="1:54" ht="31.8" x14ac:dyDescent="0.3">
      <c r="A65" s="50"/>
      <c r="B65" s="50"/>
      <c r="C65" s="50"/>
      <c r="D65" s="50"/>
      <c r="E65" s="50"/>
      <c r="F65" s="50"/>
      <c r="G65" s="50" t="s">
        <v>125</v>
      </c>
      <c r="H65" s="51">
        <v>920.16</v>
      </c>
      <c r="I65" s="51">
        <v>2249.3000000000002</v>
      </c>
      <c r="J65" s="51">
        <v>920.16</v>
      </c>
      <c r="K65" s="51">
        <v>920.16</v>
      </c>
      <c r="L65" s="51">
        <v>920.16</v>
      </c>
      <c r="M65" s="51">
        <v>920.16</v>
      </c>
      <c r="N65" s="51">
        <v>920.16</v>
      </c>
      <c r="O65" s="51">
        <v>920.16</v>
      </c>
      <c r="P65" s="51">
        <v>920.16</v>
      </c>
      <c r="Q65" s="51">
        <v>920.16</v>
      </c>
      <c r="R65" s="51">
        <v>1042.3699999999999</v>
      </c>
      <c r="S65" s="51">
        <v>1042.3499999999999</v>
      </c>
      <c r="T65" s="51"/>
      <c r="U65" s="51">
        <f>ROUND(SUM(H65:T65),5)</f>
        <v>12615.46</v>
      </c>
      <c r="V65" s="67">
        <v>22000</v>
      </c>
      <c r="W65" s="67">
        <v>22000</v>
      </c>
      <c r="X65" s="68" t="s">
        <v>256</v>
      </c>
      <c r="AB65" s="86"/>
      <c r="AC65" s="86"/>
      <c r="AD65" s="86"/>
      <c r="AE65" s="86"/>
      <c r="AF65" s="86"/>
      <c r="AG65" s="86" t="s">
        <v>125</v>
      </c>
      <c r="AH65" s="87"/>
      <c r="AI65" s="87"/>
      <c r="AJ65" s="87"/>
      <c r="AK65" s="87"/>
      <c r="AL65" s="87">
        <v>1042.3699999999999</v>
      </c>
      <c r="AM65" s="87">
        <v>1042.3699999999999</v>
      </c>
      <c r="AN65" s="87">
        <v>3266.71</v>
      </c>
      <c r="AO65" s="87">
        <v>1042.3699999999999</v>
      </c>
      <c r="AP65" s="87">
        <v>1042.3699999999999</v>
      </c>
      <c r="AQ65" s="87">
        <v>1042.3699999999999</v>
      </c>
      <c r="AR65" s="87">
        <v>1042.3699999999999</v>
      </c>
      <c r="AS65" s="87">
        <v>1042.3699999999999</v>
      </c>
      <c r="AT65" s="87">
        <v>1042.3699999999999</v>
      </c>
      <c r="AU65" s="87">
        <v>1042.3699999999999</v>
      </c>
      <c r="AV65" s="87">
        <v>1590.57</v>
      </c>
      <c r="AW65" s="87">
        <v>1590.51</v>
      </c>
      <c r="AX65" s="87"/>
      <c r="AY65" s="88">
        <f>ROUND(SUM(AH65:AX65),5)</f>
        <v>15829.12</v>
      </c>
      <c r="AZ65" s="88">
        <v>17000</v>
      </c>
      <c r="BA65" s="88">
        <v>22000</v>
      </c>
      <c r="BB65" s="89" t="s">
        <v>256</v>
      </c>
    </row>
    <row r="66" spans="1:54" x14ac:dyDescent="0.3">
      <c r="A66" s="50"/>
      <c r="B66" s="50"/>
      <c r="C66" s="50"/>
      <c r="D66" s="50"/>
      <c r="E66" s="50"/>
      <c r="F66" s="50"/>
      <c r="G66" s="50" t="s">
        <v>199</v>
      </c>
      <c r="H66" s="51">
        <v>0</v>
      </c>
      <c r="I66" s="51">
        <v>0</v>
      </c>
      <c r="J66" s="51">
        <v>0</v>
      </c>
      <c r="K66" s="51">
        <v>0</v>
      </c>
      <c r="L66" s="51">
        <v>0</v>
      </c>
      <c r="M66" s="51">
        <v>0</v>
      </c>
      <c r="N66" s="51">
        <v>0</v>
      </c>
      <c r="O66" s="51">
        <v>0</v>
      </c>
      <c r="P66" s="51">
        <v>0</v>
      </c>
      <c r="Q66" s="51">
        <v>0</v>
      </c>
      <c r="R66" s="51">
        <v>0</v>
      </c>
      <c r="S66" s="51">
        <v>0</v>
      </c>
      <c r="T66" s="51">
        <v>0</v>
      </c>
      <c r="U66" s="51">
        <v>0</v>
      </c>
      <c r="V66" s="67">
        <v>1600</v>
      </c>
      <c r="W66" s="67">
        <v>1500</v>
      </c>
      <c r="AB66" s="86"/>
      <c r="AC66" s="86"/>
      <c r="AD66" s="86"/>
      <c r="AE66" s="86"/>
      <c r="AF66" s="86"/>
      <c r="AG66" s="86" t="s">
        <v>199</v>
      </c>
      <c r="AH66" s="87"/>
      <c r="AI66" s="87"/>
      <c r="AJ66" s="87"/>
      <c r="AK66" s="87"/>
      <c r="AL66" s="87">
        <v>0</v>
      </c>
      <c r="AM66" s="87">
        <v>0</v>
      </c>
      <c r="AN66" s="87">
        <v>0</v>
      </c>
      <c r="AO66" s="87">
        <v>0</v>
      </c>
      <c r="AP66" s="87">
        <v>0</v>
      </c>
      <c r="AQ66" s="87">
        <v>0</v>
      </c>
      <c r="AR66" s="87">
        <v>0</v>
      </c>
      <c r="AS66" s="87">
        <v>0</v>
      </c>
      <c r="AT66" s="87">
        <v>0</v>
      </c>
      <c r="AU66" s="87">
        <v>0</v>
      </c>
      <c r="AV66" s="87">
        <v>0</v>
      </c>
      <c r="AW66" s="87">
        <v>0</v>
      </c>
      <c r="AX66" s="87"/>
      <c r="AY66" s="88">
        <f>ROUND(SUM(AH66:AX66),5)</f>
        <v>0</v>
      </c>
      <c r="AZ66" s="88">
        <v>1600</v>
      </c>
      <c r="BA66" s="88">
        <v>1600</v>
      </c>
      <c r="BB66" s="89"/>
    </row>
    <row r="67" spans="1:54" ht="15" thickBot="1" x14ac:dyDescent="0.35">
      <c r="A67" s="50"/>
      <c r="B67" s="50"/>
      <c r="C67" s="50"/>
      <c r="D67" s="50"/>
      <c r="E67" s="50"/>
      <c r="F67" s="50"/>
      <c r="G67" s="50" t="s">
        <v>126</v>
      </c>
      <c r="H67" s="51">
        <v>0.75</v>
      </c>
      <c r="I67" s="51">
        <v>22.5</v>
      </c>
      <c r="J67" s="51">
        <v>22.5</v>
      </c>
      <c r="K67" s="51">
        <v>22.5</v>
      </c>
      <c r="L67" s="51">
        <v>25.85</v>
      </c>
      <c r="M67" s="51">
        <v>94.84</v>
      </c>
      <c r="N67" s="51">
        <v>477</v>
      </c>
      <c r="O67" s="51">
        <v>266.7</v>
      </c>
      <c r="P67" s="51">
        <v>140.5</v>
      </c>
      <c r="Q67" s="51">
        <v>23.32</v>
      </c>
      <c r="R67" s="51">
        <v>0</v>
      </c>
      <c r="S67" s="51">
        <v>44.25</v>
      </c>
      <c r="T67" s="51"/>
      <c r="U67" s="51">
        <f>ROUND(SUM(H67:T67),5)</f>
        <v>1140.71</v>
      </c>
      <c r="V67" s="67">
        <v>2000</v>
      </c>
      <c r="W67" s="67">
        <v>2000</v>
      </c>
      <c r="AB67" s="86"/>
      <c r="AC67" s="86"/>
      <c r="AD67" s="86"/>
      <c r="AE67" s="86"/>
      <c r="AF67" s="86"/>
      <c r="AG67" s="86" t="s">
        <v>126</v>
      </c>
      <c r="AH67" s="87"/>
      <c r="AI67" s="87"/>
      <c r="AJ67" s="87"/>
      <c r="AK67" s="87"/>
      <c r="AL67" s="87">
        <v>3.07</v>
      </c>
      <c r="AM67" s="87">
        <v>24</v>
      </c>
      <c r="AN67" s="87">
        <v>24</v>
      </c>
      <c r="AO67" s="87">
        <v>48</v>
      </c>
      <c r="AP67" s="87">
        <v>0</v>
      </c>
      <c r="AQ67" s="87">
        <v>24</v>
      </c>
      <c r="AR67" s="87">
        <v>426.54</v>
      </c>
      <c r="AS67" s="87">
        <v>254.93</v>
      </c>
      <c r="AT67" s="87">
        <v>153.99</v>
      </c>
      <c r="AU67" s="87">
        <v>94.54</v>
      </c>
      <c r="AV67" s="87">
        <v>0</v>
      </c>
      <c r="AW67" s="87">
        <v>44.93</v>
      </c>
      <c r="AX67" s="87"/>
      <c r="AY67" s="88">
        <f>ROUND(SUM(AH67:AX67),5)</f>
        <v>1098</v>
      </c>
      <c r="AZ67" s="88">
        <v>2000</v>
      </c>
      <c r="BA67" s="88">
        <v>2000</v>
      </c>
      <c r="BB67" s="89"/>
    </row>
    <row r="68" spans="1:54" ht="15" thickBot="1" x14ac:dyDescent="0.35">
      <c r="A68" s="50"/>
      <c r="B68" s="50"/>
      <c r="C68" s="50"/>
      <c r="D68" s="50"/>
      <c r="E68" s="50"/>
      <c r="F68" s="50" t="s">
        <v>127</v>
      </c>
      <c r="G68" s="50"/>
      <c r="H68" s="53">
        <f t="shared" ref="H68:S68" si="28">ROUND(SUM(H64:H67),5)</f>
        <v>920.91</v>
      </c>
      <c r="I68" s="53">
        <f t="shared" si="28"/>
        <v>2271.8000000000002</v>
      </c>
      <c r="J68" s="53">
        <f t="shared" si="28"/>
        <v>942.66</v>
      </c>
      <c r="K68" s="53">
        <f t="shared" si="28"/>
        <v>942.66</v>
      </c>
      <c r="L68" s="53">
        <f t="shared" si="28"/>
        <v>946.01</v>
      </c>
      <c r="M68" s="53">
        <f t="shared" si="28"/>
        <v>1015</v>
      </c>
      <c r="N68" s="53">
        <f t="shared" si="28"/>
        <v>1397.16</v>
      </c>
      <c r="O68" s="53">
        <f t="shared" si="28"/>
        <v>1186.8599999999999</v>
      </c>
      <c r="P68" s="53">
        <f t="shared" si="28"/>
        <v>1060.6600000000001</v>
      </c>
      <c r="Q68" s="53">
        <f t="shared" si="28"/>
        <v>943.48</v>
      </c>
      <c r="R68" s="53">
        <f t="shared" si="28"/>
        <v>1042.3699999999999</v>
      </c>
      <c r="S68" s="53">
        <f t="shared" si="28"/>
        <v>1086.5999999999999</v>
      </c>
      <c r="T68" s="53"/>
      <c r="U68" s="53">
        <f>ROUND(SUM(H68:T68),5)</f>
        <v>13756.17</v>
      </c>
      <c r="V68" s="53">
        <f>ROUND(SUM(V64:V67),5)</f>
        <v>25600</v>
      </c>
      <c r="W68" s="53">
        <f>ROUND(SUM(W64:W67),5)</f>
        <v>25500</v>
      </c>
      <c r="AB68" s="86"/>
      <c r="AC68" s="86"/>
      <c r="AD68" s="86"/>
      <c r="AE68" s="86" t="s">
        <v>128</v>
      </c>
      <c r="AF68" s="86" t="s">
        <v>127</v>
      </c>
      <c r="AG68" s="86"/>
      <c r="AH68" s="93"/>
      <c r="AI68" s="93"/>
      <c r="AJ68" s="93"/>
      <c r="AK68" s="93"/>
      <c r="AL68" s="93">
        <f t="shared" ref="AL68:AW68" si="29">ROUND(SUM(AL64:AL67),5)</f>
        <v>1045.44</v>
      </c>
      <c r="AM68" s="93">
        <f t="shared" si="29"/>
        <v>1066.3699999999999</v>
      </c>
      <c r="AN68" s="93">
        <f t="shared" si="29"/>
        <v>3290.71</v>
      </c>
      <c r="AO68" s="93">
        <f t="shared" si="29"/>
        <v>1090.3699999999999</v>
      </c>
      <c r="AP68" s="93">
        <f t="shared" si="29"/>
        <v>1042.3699999999999</v>
      </c>
      <c r="AQ68" s="93">
        <f t="shared" si="29"/>
        <v>1066.3699999999999</v>
      </c>
      <c r="AR68" s="93">
        <f t="shared" si="29"/>
        <v>1468.91</v>
      </c>
      <c r="AS68" s="93">
        <f t="shared" si="29"/>
        <v>1297.3</v>
      </c>
      <c r="AT68" s="93">
        <f t="shared" si="29"/>
        <v>1196.3599999999999</v>
      </c>
      <c r="AU68" s="93">
        <f t="shared" si="29"/>
        <v>1136.9100000000001</v>
      </c>
      <c r="AV68" s="93">
        <f t="shared" si="29"/>
        <v>1590.57</v>
      </c>
      <c r="AW68" s="93">
        <f t="shared" si="29"/>
        <v>1635.44</v>
      </c>
      <c r="AX68" s="93"/>
      <c r="AY68" s="94">
        <f>ROUND(SUM(AH68:AX68),5)</f>
        <v>16927.12</v>
      </c>
      <c r="AZ68" s="94">
        <f>ROUND(SUM(AZ64:AZ67),5)</f>
        <v>20600</v>
      </c>
      <c r="BA68" s="94">
        <f>ROUND(SUM(BA64:BA67),5)</f>
        <v>25600</v>
      </c>
      <c r="BB68" s="95"/>
    </row>
    <row r="69" spans="1:54" x14ac:dyDescent="0.3">
      <c r="A69" s="50"/>
      <c r="B69" s="50"/>
      <c r="C69" s="50"/>
      <c r="D69" s="50"/>
      <c r="E69" s="50" t="s">
        <v>128</v>
      </c>
      <c r="F69" s="50"/>
      <c r="G69" s="50"/>
      <c r="H69" s="51">
        <f t="shared" ref="H69:S69" si="30">ROUND(H41+H47+H50+H54+H58+H63+H68,5)</f>
        <v>20427.5</v>
      </c>
      <c r="I69" s="51">
        <f t="shared" si="30"/>
        <v>27733.33</v>
      </c>
      <c r="J69" s="51">
        <f t="shared" si="30"/>
        <v>23514.880000000001</v>
      </c>
      <c r="K69" s="51">
        <f t="shared" si="30"/>
        <v>33234.839999999997</v>
      </c>
      <c r="L69" s="51">
        <f t="shared" si="30"/>
        <v>23848.2</v>
      </c>
      <c r="M69" s="51">
        <f t="shared" si="30"/>
        <v>31970.85</v>
      </c>
      <c r="N69" s="51">
        <f t="shared" si="30"/>
        <v>45059.15</v>
      </c>
      <c r="O69" s="51">
        <f t="shared" si="30"/>
        <v>25780.14</v>
      </c>
      <c r="P69" s="51">
        <f t="shared" si="30"/>
        <v>26176.5</v>
      </c>
      <c r="Q69" s="51">
        <f t="shared" si="30"/>
        <v>36375.4</v>
      </c>
      <c r="R69" s="51">
        <f t="shared" si="30"/>
        <v>24146.48</v>
      </c>
      <c r="S69" s="51">
        <f t="shared" si="30"/>
        <v>30418.91</v>
      </c>
      <c r="T69" s="51"/>
      <c r="U69" s="51">
        <f>ROUND(SUM(H69:T69),5)</f>
        <v>348686.18</v>
      </c>
      <c r="V69" s="51">
        <f>ROUND(V41+V47+V50+V54+V58+V63+V68,5)</f>
        <v>470191</v>
      </c>
      <c r="W69" s="51">
        <f>ROUND(W41+W47+W50+W54+W58+W63+W68,5)</f>
        <v>443550</v>
      </c>
      <c r="AB69" s="86"/>
      <c r="AC69" s="86"/>
      <c r="AD69" s="86"/>
      <c r="AE69" s="86" t="s">
        <v>129</v>
      </c>
      <c r="AF69" s="86"/>
      <c r="AG69" s="86"/>
      <c r="AH69" s="87"/>
      <c r="AI69" s="87"/>
      <c r="AJ69" s="87"/>
      <c r="AK69" s="87"/>
      <c r="AL69" s="87">
        <f t="shared" ref="AL69:AW69" si="31">ROUND(AL41+AL48+AL54+AL58+AL63+AL68,5)</f>
        <v>16390.41</v>
      </c>
      <c r="AM69" s="87">
        <f t="shared" si="31"/>
        <v>24775.15</v>
      </c>
      <c r="AN69" s="87">
        <f t="shared" si="31"/>
        <v>22713.78</v>
      </c>
      <c r="AO69" s="87">
        <f t="shared" si="31"/>
        <v>37089.300000000003</v>
      </c>
      <c r="AP69" s="87">
        <f t="shared" si="31"/>
        <v>21281.85</v>
      </c>
      <c r="AQ69" s="87">
        <f t="shared" si="31"/>
        <v>25723.74</v>
      </c>
      <c r="AR69" s="87">
        <f t="shared" si="31"/>
        <v>32956.370000000003</v>
      </c>
      <c r="AS69" s="87">
        <f t="shared" si="31"/>
        <v>23897.8</v>
      </c>
      <c r="AT69" s="87">
        <f t="shared" si="31"/>
        <v>26043.08</v>
      </c>
      <c r="AU69" s="87">
        <f t="shared" si="31"/>
        <v>41853.379999999997</v>
      </c>
      <c r="AV69" s="87">
        <f t="shared" si="31"/>
        <v>37546.199999999997</v>
      </c>
      <c r="AW69" s="87">
        <f t="shared" si="31"/>
        <v>35336.639999999999</v>
      </c>
      <c r="AX69" s="87"/>
      <c r="AY69" s="88">
        <f>ROUND(SUM(AH69:AX69),5)</f>
        <v>345607.7</v>
      </c>
      <c r="AZ69" s="88">
        <f>ROUND(AZ41+AZ48+AZ54+AZ58+AZ63+AZ68,5)</f>
        <v>413380</v>
      </c>
      <c r="BA69" s="88">
        <f>ROUND(BA41+BA48+BA54+BA58+BA63+BA68,5)</f>
        <v>470191</v>
      </c>
      <c r="BB69" s="89"/>
    </row>
    <row r="70" spans="1:54" x14ac:dyDescent="0.3">
      <c r="A70" s="50"/>
      <c r="B70" s="50"/>
      <c r="C70" s="50"/>
      <c r="D70" s="50"/>
      <c r="E70" s="50" t="s">
        <v>129</v>
      </c>
      <c r="F70" s="50"/>
      <c r="G70" s="50"/>
      <c r="H70" s="51"/>
      <c r="I70" s="51"/>
      <c r="J70" s="51"/>
      <c r="K70" s="51"/>
      <c r="L70" s="51"/>
      <c r="M70" s="51"/>
      <c r="N70" s="51"/>
      <c r="O70" s="51"/>
      <c r="P70" s="51"/>
      <c r="Q70" s="51"/>
      <c r="R70" s="51"/>
      <c r="S70" s="51"/>
      <c r="T70" s="51"/>
      <c r="U70" s="51"/>
      <c r="V70" s="51"/>
      <c r="W70" s="51"/>
      <c r="AB70" s="86"/>
      <c r="AC70" s="86"/>
      <c r="AD70" s="86"/>
      <c r="AE70" s="86"/>
      <c r="AF70" s="86"/>
      <c r="AG70" s="86"/>
      <c r="AH70" s="87"/>
      <c r="AI70" s="87"/>
      <c r="AJ70" s="87"/>
      <c r="AK70" s="87"/>
      <c r="AL70" s="87"/>
      <c r="AM70" s="87"/>
      <c r="AN70" s="87"/>
      <c r="AO70" s="87"/>
      <c r="AP70" s="87"/>
      <c r="AQ70" s="87"/>
      <c r="AR70" s="87"/>
      <c r="AS70" s="87"/>
      <c r="AT70" s="87"/>
      <c r="AU70" s="87"/>
      <c r="AV70" s="87"/>
      <c r="AW70" s="87"/>
      <c r="AX70" s="87"/>
      <c r="AY70" s="88"/>
      <c r="AZ70" s="88"/>
      <c r="BA70" s="88"/>
      <c r="BB70" s="89"/>
    </row>
    <row r="71" spans="1:54" x14ac:dyDescent="0.3">
      <c r="A71" s="50"/>
      <c r="B71" s="50"/>
      <c r="C71" s="50"/>
      <c r="D71" s="50"/>
      <c r="E71" s="50"/>
      <c r="F71" s="50" t="s">
        <v>130</v>
      </c>
      <c r="G71" s="50"/>
      <c r="H71" s="51"/>
      <c r="I71" s="51"/>
      <c r="J71" s="51"/>
      <c r="K71" s="51"/>
      <c r="L71" s="51"/>
      <c r="M71" s="51"/>
      <c r="N71" s="51"/>
      <c r="O71" s="51"/>
      <c r="P71" s="51"/>
      <c r="Q71" s="51"/>
      <c r="R71" s="51"/>
      <c r="S71" s="51"/>
      <c r="T71" s="51"/>
      <c r="U71" s="51"/>
      <c r="V71" s="51"/>
      <c r="W71" s="51"/>
      <c r="AB71" s="86"/>
      <c r="AC71" s="86"/>
      <c r="AD71" s="86"/>
      <c r="AE71" s="86"/>
      <c r="AF71" s="86" t="s">
        <v>130</v>
      </c>
      <c r="AG71" s="86"/>
      <c r="AH71" s="87"/>
      <c r="AI71" s="87"/>
      <c r="AJ71" s="87"/>
      <c r="AK71" s="87"/>
      <c r="AL71" s="87"/>
      <c r="AM71" s="87"/>
      <c r="AN71" s="87"/>
      <c r="AO71" s="87"/>
      <c r="AP71" s="87"/>
      <c r="AQ71" s="87"/>
      <c r="AR71" s="87"/>
      <c r="AS71" s="87"/>
      <c r="AT71" s="87"/>
      <c r="AU71" s="87"/>
      <c r="AV71" s="87"/>
      <c r="AW71" s="87"/>
      <c r="AX71" s="87"/>
      <c r="AY71" s="88"/>
      <c r="AZ71" s="88"/>
      <c r="BA71" s="88"/>
      <c r="BB71" s="89"/>
    </row>
    <row r="72" spans="1:54" x14ac:dyDescent="0.3">
      <c r="A72" s="50"/>
      <c r="B72" s="50"/>
      <c r="C72" s="50"/>
      <c r="D72" s="50"/>
      <c r="E72" s="50"/>
      <c r="F72" s="50"/>
      <c r="G72" s="50" t="s">
        <v>131</v>
      </c>
      <c r="H72" s="51">
        <v>336.79</v>
      </c>
      <c r="I72" s="51">
        <v>343.57</v>
      </c>
      <c r="J72" s="51">
        <v>340.18</v>
      </c>
      <c r="K72" s="51">
        <v>340.18</v>
      </c>
      <c r="L72" s="51">
        <v>471.16</v>
      </c>
      <c r="M72" s="51">
        <v>340.18</v>
      </c>
      <c r="N72" s="51">
        <v>340.18</v>
      </c>
      <c r="O72" s="51">
        <v>340.18</v>
      </c>
      <c r="P72" s="51">
        <v>340.18</v>
      </c>
      <c r="Q72" s="51">
        <v>340.18</v>
      </c>
      <c r="R72" s="51">
        <v>336.79</v>
      </c>
      <c r="S72" s="51">
        <v>336.79</v>
      </c>
      <c r="T72" s="51"/>
      <c r="U72" s="51">
        <f>ROUND(SUM(H72:T72),5)</f>
        <v>4206.3599999999997</v>
      </c>
      <c r="V72" s="67">
        <v>4100</v>
      </c>
      <c r="W72" s="67">
        <v>4400</v>
      </c>
      <c r="AB72" s="86"/>
      <c r="AC72" s="86"/>
      <c r="AD72" s="86"/>
      <c r="AE72" s="86"/>
      <c r="AF72" s="86"/>
      <c r="AG72" s="86" t="s">
        <v>131</v>
      </c>
      <c r="AH72" s="87"/>
      <c r="AI72" s="87"/>
      <c r="AJ72" s="87"/>
      <c r="AK72" s="87"/>
      <c r="AL72" s="87">
        <v>265.27999999999997</v>
      </c>
      <c r="AM72" s="87">
        <v>329.08</v>
      </c>
      <c r="AN72" s="87">
        <v>297.18</v>
      </c>
      <c r="AO72" s="87">
        <v>297.18</v>
      </c>
      <c r="AP72" s="87">
        <v>297.18</v>
      </c>
      <c r="AQ72" s="87">
        <v>342.55</v>
      </c>
      <c r="AR72" s="87">
        <v>336.79</v>
      </c>
      <c r="AS72" s="87">
        <v>336.79</v>
      </c>
      <c r="AT72" s="87">
        <v>336.79</v>
      </c>
      <c r="AU72" s="87">
        <v>336.79</v>
      </c>
      <c r="AV72" s="87">
        <v>265.27999999999997</v>
      </c>
      <c r="AW72" s="87">
        <v>265.27999999999997</v>
      </c>
      <c r="AX72" s="87"/>
      <c r="AY72" s="88">
        <f>ROUND(SUM(AH72:AX72),5)</f>
        <v>3706.17</v>
      </c>
      <c r="AZ72" s="88">
        <v>3300</v>
      </c>
      <c r="BA72" s="88">
        <v>4100</v>
      </c>
      <c r="BB72" s="89" t="s">
        <v>250</v>
      </c>
    </row>
    <row r="73" spans="1:54" ht="15" thickBot="1" x14ac:dyDescent="0.35">
      <c r="A73" s="50"/>
      <c r="B73" s="50"/>
      <c r="C73" s="50"/>
      <c r="D73" s="50"/>
      <c r="E73" s="50"/>
      <c r="F73" s="50"/>
      <c r="G73" s="50" t="s">
        <v>132</v>
      </c>
      <c r="H73" s="52">
        <v>0</v>
      </c>
      <c r="I73" s="52">
        <v>613.13</v>
      </c>
      <c r="J73" s="52">
        <v>621.05999999999995</v>
      </c>
      <c r="K73" s="52">
        <v>649.05999999999995</v>
      </c>
      <c r="L73" s="52">
        <v>447.52</v>
      </c>
      <c r="M73" s="52">
        <v>449.1</v>
      </c>
      <c r="N73" s="52">
        <v>352.72</v>
      </c>
      <c r="O73" s="52">
        <v>368.99</v>
      </c>
      <c r="P73" s="52">
        <v>439.86</v>
      </c>
      <c r="Q73" s="52">
        <v>437.05</v>
      </c>
      <c r="R73" s="52">
        <v>448.73</v>
      </c>
      <c r="S73" s="52">
        <v>1125.5899999999999</v>
      </c>
      <c r="T73" s="52"/>
      <c r="U73" s="52">
        <f>ROUND(SUM(H73:T73),5)</f>
        <v>5952.81</v>
      </c>
      <c r="V73" s="69">
        <v>5500</v>
      </c>
      <c r="W73" s="69">
        <v>6000</v>
      </c>
      <c r="AB73" s="86"/>
      <c r="AC73" s="86"/>
      <c r="AD73" s="86"/>
      <c r="AE73" s="86"/>
      <c r="AF73" s="86"/>
      <c r="AG73" s="86" t="s">
        <v>132</v>
      </c>
      <c r="AH73" s="90"/>
      <c r="AI73" s="90"/>
      <c r="AJ73" s="90"/>
      <c r="AK73" s="90"/>
      <c r="AL73" s="90">
        <v>0</v>
      </c>
      <c r="AM73" s="90">
        <v>563.13</v>
      </c>
      <c r="AN73" s="90">
        <v>558</v>
      </c>
      <c r="AO73" s="90">
        <v>564.51</v>
      </c>
      <c r="AP73" s="90">
        <v>381.22</v>
      </c>
      <c r="AQ73" s="90">
        <v>394.29</v>
      </c>
      <c r="AR73" s="90">
        <v>348.74</v>
      </c>
      <c r="AS73" s="90">
        <v>330.04</v>
      </c>
      <c r="AT73" s="90">
        <v>387.21</v>
      </c>
      <c r="AU73" s="90">
        <v>320.44</v>
      </c>
      <c r="AV73" s="90">
        <v>350.52</v>
      </c>
      <c r="AW73" s="90">
        <v>939.43</v>
      </c>
      <c r="AX73" s="90"/>
      <c r="AY73" s="91">
        <f>ROUND(SUM(AH73:AX73),5)</f>
        <v>5137.53</v>
      </c>
      <c r="AZ73" s="91">
        <v>5000</v>
      </c>
      <c r="BA73" s="91">
        <v>5500</v>
      </c>
      <c r="BB73" s="92"/>
    </row>
    <row r="74" spans="1:54" x14ac:dyDescent="0.3">
      <c r="A74" s="50"/>
      <c r="B74" s="50"/>
      <c r="C74" s="50"/>
      <c r="D74" s="50"/>
      <c r="E74" s="50"/>
      <c r="F74" s="50" t="s">
        <v>133</v>
      </c>
      <c r="G74" s="50"/>
      <c r="H74" s="51">
        <f t="shared" ref="H74:P74" si="32">ROUND(SUM(H71:H73),5)</f>
        <v>336.79</v>
      </c>
      <c r="I74" s="51">
        <f t="shared" si="32"/>
        <v>956.7</v>
      </c>
      <c r="J74" s="51">
        <f t="shared" si="32"/>
        <v>961.24</v>
      </c>
      <c r="K74" s="51">
        <f t="shared" si="32"/>
        <v>989.24</v>
      </c>
      <c r="L74" s="51">
        <f t="shared" si="32"/>
        <v>918.68</v>
      </c>
      <c r="M74" s="51">
        <f t="shared" si="32"/>
        <v>789.28</v>
      </c>
      <c r="N74" s="51">
        <f t="shared" si="32"/>
        <v>692.9</v>
      </c>
      <c r="O74" s="51">
        <f t="shared" si="32"/>
        <v>709.17</v>
      </c>
      <c r="P74" s="51">
        <f t="shared" si="32"/>
        <v>780.04</v>
      </c>
      <c r="Q74" s="51">
        <f>ROUND(SUM(Q71:Q73),5)</f>
        <v>777.23</v>
      </c>
      <c r="R74" s="51">
        <f>ROUND(SUM(R71:R73),5)</f>
        <v>785.52</v>
      </c>
      <c r="S74" s="51">
        <f>ROUND(SUM(S71:S73),5)</f>
        <v>1462.38</v>
      </c>
      <c r="T74" s="51"/>
      <c r="U74" s="51">
        <f>ROUND(SUM(H74:T74),5)</f>
        <v>10159.17</v>
      </c>
      <c r="V74" s="51">
        <f>ROUND(SUM(V71:V73),5)</f>
        <v>9600</v>
      </c>
      <c r="W74" s="51">
        <f>ROUND(SUM(W71:W73),5)</f>
        <v>10400</v>
      </c>
      <c r="AB74" s="86"/>
      <c r="AC74" s="86"/>
      <c r="AD74" s="86"/>
      <c r="AE74" s="86"/>
      <c r="AF74" s="86" t="s">
        <v>133</v>
      </c>
      <c r="AG74" s="86"/>
      <c r="AH74" s="87"/>
      <c r="AI74" s="87"/>
      <c r="AJ74" s="87"/>
      <c r="AK74" s="87"/>
      <c r="AL74" s="87">
        <f t="shared" ref="AL74:AW74" si="33">ROUND(SUM(AL71:AL73),5)</f>
        <v>265.27999999999997</v>
      </c>
      <c r="AM74" s="87">
        <f t="shared" si="33"/>
        <v>892.21</v>
      </c>
      <c r="AN74" s="87">
        <f t="shared" si="33"/>
        <v>855.18</v>
      </c>
      <c r="AO74" s="87">
        <f t="shared" si="33"/>
        <v>861.69</v>
      </c>
      <c r="AP74" s="87">
        <f t="shared" si="33"/>
        <v>678.4</v>
      </c>
      <c r="AQ74" s="87">
        <f t="shared" si="33"/>
        <v>736.84</v>
      </c>
      <c r="AR74" s="87">
        <f t="shared" si="33"/>
        <v>685.53</v>
      </c>
      <c r="AS74" s="87">
        <f t="shared" si="33"/>
        <v>666.83</v>
      </c>
      <c r="AT74" s="87">
        <f t="shared" si="33"/>
        <v>724</v>
      </c>
      <c r="AU74" s="87">
        <f t="shared" si="33"/>
        <v>657.23</v>
      </c>
      <c r="AV74" s="87">
        <f t="shared" si="33"/>
        <v>615.79999999999995</v>
      </c>
      <c r="AW74" s="87">
        <f t="shared" si="33"/>
        <v>1204.71</v>
      </c>
      <c r="AX74" s="87"/>
      <c r="AY74" s="88">
        <f>ROUND(SUM(AH74:AX74),5)</f>
        <v>8843.7000000000007</v>
      </c>
      <c r="AZ74" s="88">
        <f>ROUND(SUM(AZ71:AZ73),5)</f>
        <v>8300</v>
      </c>
      <c r="BA74" s="88">
        <f>ROUND(SUM(BA71:BA73),5)</f>
        <v>9600</v>
      </c>
      <c r="BB74" s="89"/>
    </row>
    <row r="75" spans="1:54" x14ac:dyDescent="0.3">
      <c r="A75" s="50"/>
      <c r="B75" s="50"/>
      <c r="C75" s="50"/>
      <c r="D75" s="50"/>
      <c r="E75" s="50"/>
      <c r="F75" s="50" t="s">
        <v>134</v>
      </c>
      <c r="G75" s="50"/>
      <c r="H75" s="51"/>
      <c r="I75" s="51"/>
      <c r="J75" s="51"/>
      <c r="K75" s="51"/>
      <c r="L75" s="51"/>
      <c r="M75" s="51"/>
      <c r="N75" s="51"/>
      <c r="O75" s="51"/>
      <c r="P75" s="51"/>
      <c r="Q75" s="51"/>
      <c r="R75" s="51"/>
      <c r="S75" s="51"/>
      <c r="T75" s="51"/>
      <c r="U75" s="51"/>
      <c r="V75" s="51"/>
      <c r="W75" s="51"/>
      <c r="AB75" s="86"/>
      <c r="AC75" s="86"/>
      <c r="AD75" s="86"/>
      <c r="AE75" s="86"/>
      <c r="AF75" s="86" t="s">
        <v>134</v>
      </c>
      <c r="AG75" s="86"/>
      <c r="AH75" s="87"/>
      <c r="AI75" s="87"/>
      <c r="AJ75" s="87"/>
      <c r="AK75" s="87"/>
      <c r="AL75" s="87"/>
      <c r="AM75" s="87"/>
      <c r="AN75" s="87"/>
      <c r="AO75" s="87"/>
      <c r="AP75" s="87"/>
      <c r="AQ75" s="87"/>
      <c r="AR75" s="87"/>
      <c r="AS75" s="87"/>
      <c r="AT75" s="87"/>
      <c r="AU75" s="87"/>
      <c r="AV75" s="87"/>
      <c r="AW75" s="87"/>
      <c r="AX75" s="87"/>
      <c r="AY75" s="88"/>
      <c r="AZ75" s="88"/>
      <c r="BA75" s="88"/>
      <c r="BB75" s="89"/>
    </row>
    <row r="76" spans="1:54" x14ac:dyDescent="0.3">
      <c r="A76" s="50"/>
      <c r="B76" s="50"/>
      <c r="C76" s="50"/>
      <c r="D76" s="50"/>
      <c r="E76" s="50"/>
      <c r="F76" s="50"/>
      <c r="G76" s="50" t="s">
        <v>135</v>
      </c>
      <c r="H76" s="51">
        <v>0</v>
      </c>
      <c r="I76" s="51">
        <v>750</v>
      </c>
      <c r="J76" s="51">
        <v>750</v>
      </c>
      <c r="K76" s="51">
        <v>750</v>
      </c>
      <c r="L76" s="51">
        <v>600</v>
      </c>
      <c r="M76" s="51">
        <v>600</v>
      </c>
      <c r="N76" s="51">
        <v>0</v>
      </c>
      <c r="O76" s="51">
        <v>750</v>
      </c>
      <c r="P76" s="51">
        <v>600</v>
      </c>
      <c r="Q76" s="51">
        <v>750</v>
      </c>
      <c r="R76" s="51">
        <v>0</v>
      </c>
      <c r="S76" s="51">
        <v>1500</v>
      </c>
      <c r="T76" s="51"/>
      <c r="U76" s="51">
        <f t="shared" ref="U76:U107" si="34">ROUND(SUM(H76:T76),5)</f>
        <v>7050</v>
      </c>
      <c r="V76" s="67">
        <v>11250</v>
      </c>
      <c r="W76" s="67">
        <v>11250</v>
      </c>
      <c r="X76" s="68" t="s">
        <v>246</v>
      </c>
      <c r="AB76" s="86"/>
      <c r="AC76" s="86"/>
      <c r="AD76" s="86"/>
      <c r="AE76" s="86"/>
      <c r="AF76" s="86"/>
      <c r="AG76" s="86" t="s">
        <v>135</v>
      </c>
      <c r="AH76" s="87"/>
      <c r="AI76" s="87"/>
      <c r="AJ76" s="87"/>
      <c r="AK76" s="87"/>
      <c r="AL76" s="87">
        <v>0</v>
      </c>
      <c r="AM76" s="87">
        <v>750</v>
      </c>
      <c r="AN76" s="87">
        <v>750</v>
      </c>
      <c r="AO76" s="87">
        <v>1500</v>
      </c>
      <c r="AP76" s="87">
        <v>0</v>
      </c>
      <c r="AQ76" s="87">
        <v>750</v>
      </c>
      <c r="AR76" s="87">
        <v>0</v>
      </c>
      <c r="AS76" s="87">
        <v>750</v>
      </c>
      <c r="AT76" s="87">
        <v>750</v>
      </c>
      <c r="AU76" s="87">
        <v>1500</v>
      </c>
      <c r="AV76" s="87">
        <v>0</v>
      </c>
      <c r="AW76" s="87">
        <v>1500</v>
      </c>
      <c r="AX76" s="87"/>
      <c r="AY76" s="88">
        <f t="shared" ref="AY76:AY107" si="35">ROUND(SUM(AH76:AX76),5)</f>
        <v>8250</v>
      </c>
      <c r="AZ76" s="88">
        <v>10500</v>
      </c>
      <c r="BA76" s="88">
        <v>11250</v>
      </c>
      <c r="BB76" s="89" t="s">
        <v>246</v>
      </c>
    </row>
    <row r="77" spans="1:54" x14ac:dyDescent="0.3">
      <c r="A77" s="50"/>
      <c r="B77" s="50"/>
      <c r="C77" s="50"/>
      <c r="D77" s="50"/>
      <c r="E77" s="50"/>
      <c r="F77" s="50"/>
      <c r="G77" s="50" t="s">
        <v>136</v>
      </c>
      <c r="H77" s="51">
        <v>258.55</v>
      </c>
      <c r="I77" s="51">
        <v>206.84</v>
      </c>
      <c r="J77" s="51">
        <v>0</v>
      </c>
      <c r="K77" s="51">
        <v>210.34</v>
      </c>
      <c r="L77" s="51">
        <v>332.12</v>
      </c>
      <c r="M77" s="51">
        <v>403.48</v>
      </c>
      <c r="N77" s="51">
        <v>405.04</v>
      </c>
      <c r="O77" s="51">
        <v>200.52</v>
      </c>
      <c r="P77" s="51">
        <v>131.38999999999999</v>
      </c>
      <c r="Q77" s="51">
        <v>454.67</v>
      </c>
      <c r="R77" s="51">
        <v>206.84</v>
      </c>
      <c r="S77" s="51">
        <v>206.84</v>
      </c>
      <c r="T77" s="51"/>
      <c r="U77" s="51">
        <f t="shared" si="34"/>
        <v>3016.63</v>
      </c>
      <c r="V77" s="67">
        <v>3600</v>
      </c>
      <c r="W77" s="67">
        <v>3600</v>
      </c>
      <c r="AB77" s="86"/>
      <c r="AC77" s="86"/>
      <c r="AD77" s="86"/>
      <c r="AE77" s="86"/>
      <c r="AF77" s="86"/>
      <c r="AG77" s="86" t="s">
        <v>136</v>
      </c>
      <c r="AH77" s="87"/>
      <c r="AI77" s="87"/>
      <c r="AJ77" s="87"/>
      <c r="AK77" s="87"/>
      <c r="AL77" s="87">
        <v>343.33</v>
      </c>
      <c r="AM77" s="87">
        <v>145.52000000000001</v>
      </c>
      <c r="AN77" s="87">
        <v>48.86</v>
      </c>
      <c r="AO77" s="87">
        <v>178.2</v>
      </c>
      <c r="AP77" s="87">
        <v>34.76</v>
      </c>
      <c r="AQ77" s="87">
        <v>320.76</v>
      </c>
      <c r="AR77" s="87">
        <v>60.83</v>
      </c>
      <c r="AS77" s="87">
        <v>0</v>
      </c>
      <c r="AT77" s="87">
        <v>438.46</v>
      </c>
      <c r="AU77" s="87">
        <v>295.25</v>
      </c>
      <c r="AV77" s="87">
        <v>422.36</v>
      </c>
      <c r="AW77" s="87">
        <v>0</v>
      </c>
      <c r="AX77" s="87"/>
      <c r="AY77" s="88">
        <f t="shared" si="35"/>
        <v>2288.33</v>
      </c>
      <c r="AZ77" s="88">
        <v>3100</v>
      </c>
      <c r="BA77" s="88">
        <v>3600</v>
      </c>
      <c r="BB77" s="89" t="s">
        <v>250</v>
      </c>
    </row>
    <row r="78" spans="1:54" x14ac:dyDescent="0.3">
      <c r="A78" s="50"/>
      <c r="B78" s="50"/>
      <c r="C78" s="50"/>
      <c r="D78" s="50"/>
      <c r="E78" s="50"/>
      <c r="F78" s="50"/>
      <c r="G78" s="50" t="s">
        <v>137</v>
      </c>
      <c r="H78" s="51">
        <v>0</v>
      </c>
      <c r="I78" s="51">
        <v>260.75</v>
      </c>
      <c r="J78" s="51">
        <v>0</v>
      </c>
      <c r="K78" s="51">
        <v>260.63</v>
      </c>
      <c r="L78" s="51">
        <v>551.49</v>
      </c>
      <c r="M78" s="51">
        <v>0</v>
      </c>
      <c r="N78" s="51">
        <v>470.42</v>
      </c>
      <c r="O78" s="51">
        <v>210.39</v>
      </c>
      <c r="P78" s="51">
        <v>210.39</v>
      </c>
      <c r="Q78" s="51">
        <v>210.33</v>
      </c>
      <c r="R78" s="51">
        <v>0</v>
      </c>
      <c r="S78" s="51">
        <v>512.9</v>
      </c>
      <c r="T78" s="51"/>
      <c r="U78" s="51">
        <f t="shared" si="34"/>
        <v>2687.3</v>
      </c>
      <c r="V78" s="67">
        <v>3300</v>
      </c>
      <c r="W78" s="67">
        <v>3300</v>
      </c>
      <c r="AB78" s="86"/>
      <c r="AC78" s="86"/>
      <c r="AD78" s="86"/>
      <c r="AE78" s="86"/>
      <c r="AF78" s="86"/>
      <c r="AG78" s="86" t="s">
        <v>137</v>
      </c>
      <c r="AH78" s="87"/>
      <c r="AI78" s="87"/>
      <c r="AJ78" s="87"/>
      <c r="AK78" s="87"/>
      <c r="AL78" s="87">
        <v>241.34</v>
      </c>
      <c r="AM78" s="87">
        <v>372.18</v>
      </c>
      <c r="AN78" s="87">
        <v>296.32</v>
      </c>
      <c r="AO78" s="87">
        <v>0</v>
      </c>
      <c r="AP78" s="87">
        <v>517.34</v>
      </c>
      <c r="AQ78" s="87">
        <v>256.20999999999998</v>
      </c>
      <c r="AR78" s="87">
        <v>256.41000000000003</v>
      </c>
      <c r="AS78" s="87">
        <v>256.41000000000003</v>
      </c>
      <c r="AT78" s="87">
        <v>256.41000000000003</v>
      </c>
      <c r="AU78" s="87">
        <v>256.47000000000003</v>
      </c>
      <c r="AV78" s="87">
        <v>240.82</v>
      </c>
      <c r="AW78" s="87">
        <v>240.82</v>
      </c>
      <c r="AX78" s="87"/>
      <c r="AY78" s="88">
        <f t="shared" si="35"/>
        <v>3190.73</v>
      </c>
      <c r="AZ78" s="88">
        <v>3900</v>
      </c>
      <c r="BA78" s="88">
        <v>3300</v>
      </c>
      <c r="BB78" s="89"/>
    </row>
    <row r="79" spans="1:54" ht="21.6" x14ac:dyDescent="0.3">
      <c r="A79" s="50"/>
      <c r="B79" s="50"/>
      <c r="C79" s="50"/>
      <c r="D79" s="50"/>
      <c r="E79" s="50"/>
      <c r="F79" s="50"/>
      <c r="G79" s="50" t="s">
        <v>138</v>
      </c>
      <c r="H79" s="51">
        <v>0</v>
      </c>
      <c r="I79" s="51">
        <v>0</v>
      </c>
      <c r="J79" s="51">
        <v>0</v>
      </c>
      <c r="K79" s="51">
        <v>0</v>
      </c>
      <c r="L79" s="51">
        <v>0</v>
      </c>
      <c r="M79" s="51">
        <v>0</v>
      </c>
      <c r="N79" s="51">
        <v>0</v>
      </c>
      <c r="O79" s="51">
        <v>0</v>
      </c>
      <c r="P79" s="51">
        <v>0</v>
      </c>
      <c r="Q79" s="51">
        <v>0</v>
      </c>
      <c r="R79" s="51">
        <v>0</v>
      </c>
      <c r="S79" s="51">
        <v>0</v>
      </c>
      <c r="T79" s="51"/>
      <c r="U79" s="51">
        <f t="shared" si="34"/>
        <v>0</v>
      </c>
      <c r="V79" s="67">
        <v>0</v>
      </c>
      <c r="W79" s="67">
        <v>1200</v>
      </c>
      <c r="X79" s="68" t="s">
        <v>295</v>
      </c>
      <c r="AB79" s="86"/>
      <c r="AC79" s="86"/>
      <c r="AD79" s="86"/>
      <c r="AE79" s="86"/>
      <c r="AF79" s="86"/>
      <c r="AG79" s="86" t="s">
        <v>138</v>
      </c>
      <c r="AH79" s="87"/>
      <c r="AI79" s="87"/>
      <c r="AJ79" s="87"/>
      <c r="AK79" s="87"/>
      <c r="AL79" s="87">
        <v>0</v>
      </c>
      <c r="AM79" s="87">
        <v>0</v>
      </c>
      <c r="AN79" s="87">
        <v>0</v>
      </c>
      <c r="AO79" s="87">
        <v>0</v>
      </c>
      <c r="AP79" s="87">
        <v>0</v>
      </c>
      <c r="AQ79" s="87">
        <v>0</v>
      </c>
      <c r="AR79" s="87">
        <v>0</v>
      </c>
      <c r="AS79" s="87">
        <v>0</v>
      </c>
      <c r="AT79" s="87">
        <v>0</v>
      </c>
      <c r="AU79" s="87">
        <v>0</v>
      </c>
      <c r="AV79" s="87">
        <v>0</v>
      </c>
      <c r="AW79" s="87">
        <v>0</v>
      </c>
      <c r="AX79" s="87"/>
      <c r="AY79" s="88">
        <f t="shared" si="35"/>
        <v>0</v>
      </c>
      <c r="AZ79" s="88">
        <v>1100</v>
      </c>
      <c r="BA79" s="88">
        <v>0</v>
      </c>
      <c r="BB79" s="89" t="s">
        <v>248</v>
      </c>
    </row>
    <row r="80" spans="1:54" x14ac:dyDescent="0.3">
      <c r="A80" s="50"/>
      <c r="B80" s="50"/>
      <c r="C80" s="50"/>
      <c r="D80" s="50"/>
      <c r="E80" s="50"/>
      <c r="F80" s="50"/>
      <c r="G80" s="50" t="s">
        <v>139</v>
      </c>
      <c r="H80" s="51">
        <v>1321.74</v>
      </c>
      <c r="I80" s="51">
        <v>1321.74</v>
      </c>
      <c r="J80" s="51">
        <v>1321.74</v>
      </c>
      <c r="K80" s="51">
        <v>1321.74</v>
      </c>
      <c r="L80" s="51">
        <v>1371.24</v>
      </c>
      <c r="M80" s="51">
        <v>1371.24</v>
      </c>
      <c r="N80" s="51">
        <v>1371.24</v>
      </c>
      <c r="O80" s="51">
        <v>1371.24</v>
      </c>
      <c r="P80" s="51">
        <v>1371.24</v>
      </c>
      <c r="Q80" s="51">
        <v>1424.65</v>
      </c>
      <c r="R80" s="51">
        <v>1196.9100000000001</v>
      </c>
      <c r="S80" s="51">
        <v>1196.8900000000001</v>
      </c>
      <c r="T80" s="51"/>
      <c r="U80" s="51">
        <f t="shared" si="34"/>
        <v>15961.61</v>
      </c>
      <c r="V80" s="67">
        <v>15900</v>
      </c>
      <c r="W80" s="67">
        <v>21500</v>
      </c>
      <c r="X80" s="68" t="s">
        <v>287</v>
      </c>
      <c r="AB80" s="86"/>
      <c r="AC80" s="86"/>
      <c r="AD80" s="86"/>
      <c r="AE80" s="86"/>
      <c r="AF80" s="86"/>
      <c r="AG80" s="86" t="s">
        <v>139</v>
      </c>
      <c r="AH80" s="87"/>
      <c r="AI80" s="87"/>
      <c r="AJ80" s="87"/>
      <c r="AK80" s="87"/>
      <c r="AL80" s="87">
        <v>1196.9100000000001</v>
      </c>
      <c r="AM80" s="87">
        <v>1196.9100000000001</v>
      </c>
      <c r="AN80" s="87">
        <v>1196.9100000000001</v>
      </c>
      <c r="AO80" s="87">
        <v>1196.9100000000001</v>
      </c>
      <c r="AP80" s="87">
        <v>1196.9100000000001</v>
      </c>
      <c r="AQ80" s="87">
        <v>1196.9100000000001</v>
      </c>
      <c r="AR80" s="87">
        <v>1196.9100000000001</v>
      </c>
      <c r="AS80" s="87">
        <v>1196.9100000000001</v>
      </c>
      <c r="AT80" s="87">
        <v>1196.9100000000001</v>
      </c>
      <c r="AU80" s="87">
        <v>1196.9100000000001</v>
      </c>
      <c r="AV80" s="87">
        <v>1196.9100000000001</v>
      </c>
      <c r="AW80" s="87">
        <v>1196.9100000000001</v>
      </c>
      <c r="AX80" s="87"/>
      <c r="AY80" s="88">
        <f t="shared" si="35"/>
        <v>14362.92</v>
      </c>
      <c r="AZ80" s="88">
        <v>14400</v>
      </c>
      <c r="BA80" s="88">
        <v>15900</v>
      </c>
      <c r="BB80" s="89" t="s">
        <v>255</v>
      </c>
    </row>
    <row r="81" spans="1:54" x14ac:dyDescent="0.3">
      <c r="A81" s="50"/>
      <c r="B81" s="50"/>
      <c r="C81" s="50"/>
      <c r="D81" s="50"/>
      <c r="E81" s="50"/>
      <c r="F81" s="50"/>
      <c r="G81" s="50" t="s">
        <v>140</v>
      </c>
      <c r="H81" s="51">
        <v>0</v>
      </c>
      <c r="I81" s="51">
        <v>120</v>
      </c>
      <c r="J81" s="51">
        <v>0</v>
      </c>
      <c r="K81" s="51">
        <v>2669</v>
      </c>
      <c r="L81" s="51">
        <v>284</v>
      </c>
      <c r="M81" s="51">
        <v>0</v>
      </c>
      <c r="N81" s="51">
        <v>0</v>
      </c>
      <c r="O81" s="51">
        <v>175</v>
      </c>
      <c r="P81" s="51">
        <v>0</v>
      </c>
      <c r="Q81" s="51">
        <v>300</v>
      </c>
      <c r="R81" s="51">
        <v>0</v>
      </c>
      <c r="S81" s="51">
        <v>0</v>
      </c>
      <c r="T81" s="51"/>
      <c r="U81" s="51">
        <f t="shared" si="34"/>
        <v>3548</v>
      </c>
      <c r="V81" s="67">
        <v>2600</v>
      </c>
      <c r="W81" s="67">
        <v>3300</v>
      </c>
      <c r="X81" s="68" t="s">
        <v>258</v>
      </c>
      <c r="AB81" s="86"/>
      <c r="AC81" s="86"/>
      <c r="AD81" s="86"/>
      <c r="AE81" s="86"/>
      <c r="AF81" s="86"/>
      <c r="AG81" s="86" t="s">
        <v>140</v>
      </c>
      <c r="AH81" s="87"/>
      <c r="AI81" s="87"/>
      <c r="AJ81" s="87"/>
      <c r="AK81" s="87"/>
      <c r="AL81" s="87">
        <v>120</v>
      </c>
      <c r="AM81" s="87">
        <v>75</v>
      </c>
      <c r="AN81" s="87">
        <v>0</v>
      </c>
      <c r="AO81" s="87">
        <v>0</v>
      </c>
      <c r="AP81" s="87">
        <v>395</v>
      </c>
      <c r="AQ81" s="87">
        <v>1230</v>
      </c>
      <c r="AR81" s="87">
        <v>584</v>
      </c>
      <c r="AS81" s="87">
        <v>0</v>
      </c>
      <c r="AT81" s="87">
        <v>0</v>
      </c>
      <c r="AU81" s="87">
        <v>0</v>
      </c>
      <c r="AV81" s="87">
        <v>0</v>
      </c>
      <c r="AW81" s="87">
        <v>0</v>
      </c>
      <c r="AX81" s="87"/>
      <c r="AY81" s="88">
        <f t="shared" si="35"/>
        <v>2404</v>
      </c>
      <c r="AZ81" s="88">
        <v>2600</v>
      </c>
      <c r="BA81" s="88">
        <v>2600</v>
      </c>
      <c r="BB81" s="89"/>
    </row>
    <row r="82" spans="1:54" x14ac:dyDescent="0.3">
      <c r="A82" s="50"/>
      <c r="B82" s="50"/>
      <c r="C82" s="50"/>
      <c r="D82" s="50"/>
      <c r="E82" s="50"/>
      <c r="F82" s="50"/>
      <c r="G82" s="50" t="s">
        <v>141</v>
      </c>
      <c r="H82" s="51">
        <v>16</v>
      </c>
      <c r="I82" s="51">
        <v>16</v>
      </c>
      <c r="J82" s="51">
        <v>16</v>
      </c>
      <c r="K82" s="51">
        <v>16</v>
      </c>
      <c r="L82" s="51">
        <v>31</v>
      </c>
      <c r="M82" s="51">
        <v>16</v>
      </c>
      <c r="N82" s="51">
        <v>16</v>
      </c>
      <c r="O82" s="51">
        <v>26</v>
      </c>
      <c r="P82" s="51">
        <v>16</v>
      </c>
      <c r="Q82" s="51">
        <v>26</v>
      </c>
      <c r="R82" s="51">
        <v>16</v>
      </c>
      <c r="S82" s="51">
        <v>16</v>
      </c>
      <c r="T82" s="51"/>
      <c r="U82" s="51">
        <f t="shared" si="34"/>
        <v>227</v>
      </c>
      <c r="V82" s="67">
        <v>300</v>
      </c>
      <c r="W82" s="67">
        <v>300</v>
      </c>
      <c r="AB82" s="86"/>
      <c r="AC82" s="86"/>
      <c r="AD82" s="86"/>
      <c r="AE82" s="86"/>
      <c r="AF82" s="86"/>
      <c r="AG82" s="86" t="s">
        <v>141</v>
      </c>
      <c r="AH82" s="87"/>
      <c r="AI82" s="87"/>
      <c r="AJ82" s="87"/>
      <c r="AK82" s="87"/>
      <c r="AL82" s="87">
        <v>21</v>
      </c>
      <c r="AM82" s="87">
        <v>21</v>
      </c>
      <c r="AN82" s="87">
        <v>21</v>
      </c>
      <c r="AO82" s="87">
        <v>56</v>
      </c>
      <c r="AP82" s="87">
        <v>21</v>
      </c>
      <c r="AQ82" s="87">
        <v>21</v>
      </c>
      <c r="AR82" s="87">
        <v>21</v>
      </c>
      <c r="AS82" s="87">
        <v>16</v>
      </c>
      <c r="AT82" s="87">
        <v>16</v>
      </c>
      <c r="AU82" s="87">
        <v>16</v>
      </c>
      <c r="AV82" s="87">
        <v>21</v>
      </c>
      <c r="AW82" s="87">
        <v>21</v>
      </c>
      <c r="AX82" s="87"/>
      <c r="AY82" s="88">
        <f t="shared" si="35"/>
        <v>272</v>
      </c>
      <c r="AZ82" s="88">
        <v>800</v>
      </c>
      <c r="BA82" s="88">
        <v>300</v>
      </c>
      <c r="BB82" s="89"/>
    </row>
    <row r="83" spans="1:54" x14ac:dyDescent="0.3">
      <c r="A83" s="50"/>
      <c r="B83" s="50"/>
      <c r="C83" s="50"/>
      <c r="D83" s="50"/>
      <c r="E83" s="50"/>
      <c r="F83" s="50"/>
      <c r="G83" s="50" t="s">
        <v>142</v>
      </c>
      <c r="H83" s="51">
        <v>0</v>
      </c>
      <c r="I83" s="51">
        <v>0</v>
      </c>
      <c r="J83" s="51">
        <v>0</v>
      </c>
      <c r="K83" s="51">
        <v>0</v>
      </c>
      <c r="L83" s="51">
        <v>0</v>
      </c>
      <c r="M83" s="51">
        <v>0</v>
      </c>
      <c r="N83" s="51">
        <v>0</v>
      </c>
      <c r="O83" s="51">
        <v>0</v>
      </c>
      <c r="P83" s="51">
        <v>0</v>
      </c>
      <c r="Q83" s="51">
        <v>149.9</v>
      </c>
      <c r="R83" s="51">
        <v>261</v>
      </c>
      <c r="S83" s="51">
        <v>0</v>
      </c>
      <c r="T83" s="51"/>
      <c r="U83" s="51">
        <f t="shared" si="34"/>
        <v>410.9</v>
      </c>
      <c r="V83" s="67">
        <v>2000</v>
      </c>
      <c r="W83" s="67">
        <v>500</v>
      </c>
      <c r="AB83" s="86"/>
      <c r="AC83" s="86"/>
      <c r="AD83" s="86"/>
      <c r="AE83" s="86"/>
      <c r="AF83" s="86"/>
      <c r="AG83" s="86" t="s">
        <v>142</v>
      </c>
      <c r="AH83" s="87"/>
      <c r="AI83" s="87"/>
      <c r="AJ83" s="87"/>
      <c r="AK83" s="87"/>
      <c r="AL83" s="87">
        <v>0</v>
      </c>
      <c r="AM83" s="87">
        <v>0</v>
      </c>
      <c r="AN83" s="87">
        <v>0</v>
      </c>
      <c r="AO83" s="87">
        <v>0</v>
      </c>
      <c r="AP83" s="87">
        <v>837.34</v>
      </c>
      <c r="AQ83" s="87">
        <v>0</v>
      </c>
      <c r="AR83" s="87">
        <v>0</v>
      </c>
      <c r="AS83" s="87">
        <v>0</v>
      </c>
      <c r="AT83" s="87">
        <v>0</v>
      </c>
      <c r="AU83" s="87">
        <v>0</v>
      </c>
      <c r="AV83" s="87">
        <v>0</v>
      </c>
      <c r="AW83" s="87">
        <v>1850</v>
      </c>
      <c r="AX83" s="87"/>
      <c r="AY83" s="88">
        <f t="shared" si="35"/>
        <v>2687.34</v>
      </c>
      <c r="AZ83" s="88">
        <v>1500</v>
      </c>
      <c r="BA83" s="88">
        <v>2000</v>
      </c>
      <c r="BB83" s="89" t="s">
        <v>258</v>
      </c>
    </row>
    <row r="84" spans="1:54" x14ac:dyDescent="0.3">
      <c r="A84" s="50"/>
      <c r="B84" s="50"/>
      <c r="C84" s="50"/>
      <c r="D84" s="50"/>
      <c r="E84" s="50"/>
      <c r="F84" s="50"/>
      <c r="G84" s="50" t="s">
        <v>143</v>
      </c>
      <c r="H84" s="51">
        <v>2.99</v>
      </c>
      <c r="I84" s="51">
        <v>356.44</v>
      </c>
      <c r="J84" s="51">
        <v>356.92</v>
      </c>
      <c r="K84" s="51">
        <v>356.92</v>
      </c>
      <c r="L84" s="51">
        <v>848.03</v>
      </c>
      <c r="M84" s="51">
        <v>497.98</v>
      </c>
      <c r="N84" s="51">
        <v>354.64</v>
      </c>
      <c r="O84" s="51">
        <v>371.91</v>
      </c>
      <c r="P84" s="51">
        <v>815.47</v>
      </c>
      <c r="Q84" s="51">
        <v>2.99</v>
      </c>
      <c r="R84" s="51">
        <v>355.87</v>
      </c>
      <c r="S84" s="51">
        <v>566.09</v>
      </c>
      <c r="T84" s="51"/>
      <c r="U84" s="51">
        <f t="shared" si="34"/>
        <v>4886.25</v>
      </c>
      <c r="V84" s="67">
        <v>7000</v>
      </c>
      <c r="W84" s="67">
        <v>7000</v>
      </c>
      <c r="AB84" s="86"/>
      <c r="AC84" s="86"/>
      <c r="AD84" s="86"/>
      <c r="AE84" s="86"/>
      <c r="AF84" s="86"/>
      <c r="AG84" s="86" t="s">
        <v>143</v>
      </c>
      <c r="AH84" s="87"/>
      <c r="AI84" s="87"/>
      <c r="AJ84" s="87"/>
      <c r="AK84" s="87"/>
      <c r="AL84" s="87">
        <v>2.99</v>
      </c>
      <c r="AM84" s="87">
        <v>488.86</v>
      </c>
      <c r="AN84" s="87">
        <v>346.22</v>
      </c>
      <c r="AO84" s="87">
        <v>418.45</v>
      </c>
      <c r="AP84" s="87">
        <v>349.26</v>
      </c>
      <c r="AQ84" s="87">
        <v>350.07</v>
      </c>
      <c r="AR84" s="87">
        <v>620.41999999999996</v>
      </c>
      <c r="AS84" s="87">
        <v>349.84</v>
      </c>
      <c r="AT84" s="87">
        <v>350.02</v>
      </c>
      <c r="AU84" s="87">
        <v>496.21</v>
      </c>
      <c r="AV84" s="87">
        <v>887.43</v>
      </c>
      <c r="AW84" s="87">
        <v>361.82</v>
      </c>
      <c r="AX84" s="87"/>
      <c r="AY84" s="88">
        <f t="shared" si="35"/>
        <v>5021.59</v>
      </c>
      <c r="AZ84" s="88">
        <v>7000</v>
      </c>
      <c r="BA84" s="88">
        <v>7000</v>
      </c>
      <c r="BB84" s="89"/>
    </row>
    <row r="85" spans="1:54" x14ac:dyDescent="0.3">
      <c r="A85" s="50"/>
      <c r="B85" s="50"/>
      <c r="C85" s="50"/>
      <c r="D85" s="50"/>
      <c r="E85" s="50"/>
      <c r="F85" s="50"/>
      <c r="G85" s="50" t="s">
        <v>144</v>
      </c>
      <c r="H85" s="51">
        <v>0</v>
      </c>
      <c r="I85" s="51">
        <v>0</v>
      </c>
      <c r="J85" s="51">
        <v>0</v>
      </c>
      <c r="K85" s="51">
        <v>0</v>
      </c>
      <c r="L85" s="51">
        <v>0</v>
      </c>
      <c r="M85" s="51">
        <v>0</v>
      </c>
      <c r="N85" s="51">
        <v>418.65</v>
      </c>
      <c r="O85" s="51">
        <v>0</v>
      </c>
      <c r="P85" s="51">
        <v>270.52</v>
      </c>
      <c r="Q85" s="51">
        <v>0</v>
      </c>
      <c r="R85" s="51">
        <v>0</v>
      </c>
      <c r="S85" s="51">
        <v>0</v>
      </c>
      <c r="T85" s="51"/>
      <c r="U85" s="51">
        <f t="shared" si="34"/>
        <v>689.17</v>
      </c>
      <c r="V85" s="67">
        <v>0</v>
      </c>
      <c r="W85" s="67">
        <v>1000</v>
      </c>
      <c r="X85" s="68" t="s">
        <v>296</v>
      </c>
      <c r="AB85" s="86"/>
      <c r="AC85" s="86"/>
      <c r="AD85" s="86"/>
      <c r="AE85" s="86"/>
      <c r="AF85" s="86"/>
      <c r="AG85" s="86" t="s">
        <v>144</v>
      </c>
      <c r="AH85" s="87"/>
      <c r="AI85" s="87"/>
      <c r="AJ85" s="87"/>
      <c r="AK85" s="87"/>
      <c r="AL85" s="87">
        <v>0</v>
      </c>
      <c r="AM85" s="87">
        <v>0</v>
      </c>
      <c r="AN85" s="87">
        <v>0</v>
      </c>
      <c r="AO85" s="87">
        <v>0</v>
      </c>
      <c r="AP85" s="87">
        <v>0</v>
      </c>
      <c r="AQ85" s="87">
        <v>0</v>
      </c>
      <c r="AR85" s="87">
        <v>0</v>
      </c>
      <c r="AS85" s="87">
        <v>0</v>
      </c>
      <c r="AT85" s="87">
        <v>0</v>
      </c>
      <c r="AU85" s="87">
        <v>0</v>
      </c>
      <c r="AV85" s="87">
        <v>0</v>
      </c>
      <c r="AW85" s="87">
        <v>0</v>
      </c>
      <c r="AX85" s="87"/>
      <c r="AY85" s="88">
        <f t="shared" si="35"/>
        <v>0</v>
      </c>
      <c r="AZ85" s="88">
        <v>1200</v>
      </c>
      <c r="BA85" s="88">
        <v>0</v>
      </c>
      <c r="BB85" s="89" t="s">
        <v>248</v>
      </c>
    </row>
    <row r="86" spans="1:54" x14ac:dyDescent="0.3">
      <c r="A86" s="50"/>
      <c r="B86" s="50"/>
      <c r="C86" s="50"/>
      <c r="D86" s="50"/>
      <c r="E86" s="50"/>
      <c r="F86" s="50"/>
      <c r="G86" s="50" t="s">
        <v>145</v>
      </c>
      <c r="H86" s="51">
        <v>364.31</v>
      </c>
      <c r="I86" s="51">
        <v>41.55</v>
      </c>
      <c r="J86" s="51">
        <v>778.44</v>
      </c>
      <c r="K86" s="51">
        <v>71.599999999999994</v>
      </c>
      <c r="L86" s="51">
        <v>0</v>
      </c>
      <c r="M86" s="51">
        <v>601.58000000000004</v>
      </c>
      <c r="N86" s="51">
        <v>0</v>
      </c>
      <c r="O86" s="51">
        <v>0</v>
      </c>
      <c r="P86" s="51">
        <v>411.56</v>
      </c>
      <c r="Q86" s="51">
        <v>137.16999999999999</v>
      </c>
      <c r="R86" s="51">
        <v>89.84</v>
      </c>
      <c r="S86" s="51">
        <v>134.16</v>
      </c>
      <c r="T86" s="51"/>
      <c r="U86" s="51">
        <f t="shared" si="34"/>
        <v>2630.21</v>
      </c>
      <c r="V86" s="67">
        <v>3000</v>
      </c>
      <c r="W86" s="67">
        <v>3500</v>
      </c>
      <c r="AB86" s="86"/>
      <c r="AC86" s="86"/>
      <c r="AD86" s="86"/>
      <c r="AE86" s="86"/>
      <c r="AF86" s="86"/>
      <c r="AG86" s="86" t="s">
        <v>145</v>
      </c>
      <c r="AH86" s="87"/>
      <c r="AI86" s="87"/>
      <c r="AJ86" s="87"/>
      <c r="AK86" s="87"/>
      <c r="AL86" s="87">
        <v>195.95</v>
      </c>
      <c r="AM86" s="87">
        <v>275.38</v>
      </c>
      <c r="AN86" s="87">
        <v>60.79</v>
      </c>
      <c r="AO86" s="87">
        <v>107.39</v>
      </c>
      <c r="AP86" s="87">
        <v>191.56</v>
      </c>
      <c r="AQ86" s="87">
        <v>69.58</v>
      </c>
      <c r="AR86" s="87">
        <v>0</v>
      </c>
      <c r="AS86" s="87">
        <v>89.08</v>
      </c>
      <c r="AT86" s="87">
        <v>113.48</v>
      </c>
      <c r="AU86" s="87">
        <v>162.65</v>
      </c>
      <c r="AV86" s="87">
        <v>59.88</v>
      </c>
      <c r="AW86" s="87">
        <v>17.399999999999999</v>
      </c>
      <c r="AX86" s="87"/>
      <c r="AY86" s="88">
        <f t="shared" si="35"/>
        <v>1343.14</v>
      </c>
      <c r="AZ86" s="88">
        <v>3000</v>
      </c>
      <c r="BA86" s="88">
        <v>3000</v>
      </c>
      <c r="BB86" s="89"/>
    </row>
    <row r="87" spans="1:54" x14ac:dyDescent="0.3">
      <c r="A87" s="50"/>
      <c r="B87" s="50"/>
      <c r="C87" s="50"/>
      <c r="D87" s="50"/>
      <c r="E87" s="50"/>
      <c r="F87" s="50"/>
      <c r="G87" s="50" t="s">
        <v>146</v>
      </c>
      <c r="H87" s="51">
        <v>0</v>
      </c>
      <c r="I87" s="51">
        <v>0</v>
      </c>
      <c r="J87" s="51">
        <v>160.51</v>
      </c>
      <c r="K87" s="51">
        <v>232</v>
      </c>
      <c r="L87" s="51">
        <v>0</v>
      </c>
      <c r="M87" s="51">
        <v>0</v>
      </c>
      <c r="N87" s="51">
        <v>0</v>
      </c>
      <c r="O87" s="51">
        <v>0</v>
      </c>
      <c r="P87" s="51">
        <v>0</v>
      </c>
      <c r="Q87" s="51">
        <v>232</v>
      </c>
      <c r="R87" s="51">
        <v>0</v>
      </c>
      <c r="S87" s="51">
        <v>245</v>
      </c>
      <c r="T87" s="51"/>
      <c r="U87" s="51">
        <f t="shared" si="34"/>
        <v>869.51</v>
      </c>
      <c r="V87" s="67">
        <v>1000</v>
      </c>
      <c r="W87" s="67">
        <v>1000</v>
      </c>
      <c r="AB87" s="86"/>
      <c r="AC87" s="86"/>
      <c r="AD87" s="86"/>
      <c r="AE87" s="86"/>
      <c r="AF87" s="86"/>
      <c r="AG87" s="86" t="s">
        <v>146</v>
      </c>
      <c r="AH87" s="87"/>
      <c r="AI87" s="87"/>
      <c r="AJ87" s="87"/>
      <c r="AK87" s="87"/>
      <c r="AL87" s="87">
        <v>110</v>
      </c>
      <c r="AM87" s="87">
        <v>0</v>
      </c>
      <c r="AN87" s="87">
        <v>136.35</v>
      </c>
      <c r="AO87" s="87">
        <v>0</v>
      </c>
      <c r="AP87" s="87">
        <v>0</v>
      </c>
      <c r="AQ87" s="87">
        <v>0</v>
      </c>
      <c r="AR87" s="87">
        <v>220</v>
      </c>
      <c r="AS87" s="87">
        <v>0</v>
      </c>
      <c r="AT87" s="87">
        <v>0</v>
      </c>
      <c r="AU87" s="87">
        <v>44.39</v>
      </c>
      <c r="AV87" s="87">
        <v>0</v>
      </c>
      <c r="AW87" s="87">
        <v>240</v>
      </c>
      <c r="AX87" s="87"/>
      <c r="AY87" s="88">
        <f t="shared" si="35"/>
        <v>750.74</v>
      </c>
      <c r="AZ87" s="88">
        <v>1000</v>
      </c>
      <c r="BA87" s="88">
        <v>1000</v>
      </c>
      <c r="BB87" s="89"/>
    </row>
    <row r="88" spans="1:54" x14ac:dyDescent="0.3">
      <c r="A88" s="50"/>
      <c r="B88" s="50"/>
      <c r="C88" s="50"/>
      <c r="D88" s="50"/>
      <c r="E88" s="50"/>
      <c r="F88" s="50"/>
      <c r="G88" s="50" t="s">
        <v>147</v>
      </c>
      <c r="H88" s="51">
        <v>0</v>
      </c>
      <c r="I88" s="51">
        <v>0</v>
      </c>
      <c r="J88" s="51">
        <v>0</v>
      </c>
      <c r="K88" s="51">
        <v>0</v>
      </c>
      <c r="L88" s="51">
        <v>803.32</v>
      </c>
      <c r="M88" s="51">
        <v>0</v>
      </c>
      <c r="N88" s="51">
        <v>0</v>
      </c>
      <c r="O88" s="51">
        <v>0</v>
      </c>
      <c r="P88" s="51">
        <v>5.98</v>
      </c>
      <c r="Q88" s="51">
        <v>0</v>
      </c>
      <c r="R88" s="51">
        <v>0</v>
      </c>
      <c r="S88" s="51">
        <v>369.97</v>
      </c>
      <c r="T88" s="51"/>
      <c r="U88" s="51">
        <f t="shared" si="34"/>
        <v>1179.27</v>
      </c>
      <c r="V88" s="67">
        <v>2500</v>
      </c>
      <c r="W88" s="67">
        <v>2500</v>
      </c>
      <c r="AB88" s="86"/>
      <c r="AC88" s="86"/>
      <c r="AD88" s="86"/>
      <c r="AE88" s="86"/>
      <c r="AF88" s="86"/>
      <c r="AG88" s="86" t="s">
        <v>147</v>
      </c>
      <c r="AH88" s="87"/>
      <c r="AI88" s="87"/>
      <c r="AJ88" s="87"/>
      <c r="AK88" s="87"/>
      <c r="AL88" s="87">
        <v>42.34</v>
      </c>
      <c r="AM88" s="87">
        <v>0</v>
      </c>
      <c r="AN88" s="87">
        <v>0</v>
      </c>
      <c r="AO88" s="87">
        <v>0</v>
      </c>
      <c r="AP88" s="87">
        <v>0</v>
      </c>
      <c r="AQ88" s="87">
        <v>0</v>
      </c>
      <c r="AR88" s="87">
        <v>0</v>
      </c>
      <c r="AS88" s="87">
        <v>0</v>
      </c>
      <c r="AT88" s="87">
        <v>0</v>
      </c>
      <c r="AU88" s="87">
        <v>195.72</v>
      </c>
      <c r="AV88" s="87">
        <v>570.48</v>
      </c>
      <c r="AW88" s="87">
        <v>2.99</v>
      </c>
      <c r="AX88" s="87"/>
      <c r="AY88" s="88">
        <f t="shared" si="35"/>
        <v>811.53</v>
      </c>
      <c r="AZ88" s="88">
        <v>4000</v>
      </c>
      <c r="BA88" s="88">
        <v>2500</v>
      </c>
      <c r="BB88" s="89"/>
    </row>
    <row r="89" spans="1:54" x14ac:dyDescent="0.3">
      <c r="A89" s="50"/>
      <c r="B89" s="50"/>
      <c r="C89" s="50"/>
      <c r="D89" s="50"/>
      <c r="E89" s="50"/>
      <c r="F89" s="50"/>
      <c r="G89" s="50" t="s">
        <v>232</v>
      </c>
      <c r="H89" s="51">
        <v>92.05</v>
      </c>
      <c r="I89" s="51">
        <v>0</v>
      </c>
      <c r="J89" s="51">
        <v>0</v>
      </c>
      <c r="K89" s="51">
        <v>0</v>
      </c>
      <c r="L89" s="51">
        <v>0</v>
      </c>
      <c r="M89" s="51">
        <v>0</v>
      </c>
      <c r="N89" s="51">
        <v>0</v>
      </c>
      <c r="O89" s="51">
        <v>53.22</v>
      </c>
      <c r="P89" s="51">
        <v>0</v>
      </c>
      <c r="Q89" s="51">
        <v>0</v>
      </c>
      <c r="R89" s="51">
        <v>0</v>
      </c>
      <c r="S89" s="51">
        <v>0</v>
      </c>
      <c r="T89" s="51"/>
      <c r="U89" s="51">
        <f t="shared" si="34"/>
        <v>145.27000000000001</v>
      </c>
      <c r="V89" s="67">
        <v>2400</v>
      </c>
      <c r="W89" s="67">
        <v>2400</v>
      </c>
      <c r="AB89" s="86"/>
      <c r="AC89" s="86"/>
      <c r="AD89" s="86"/>
      <c r="AE89" s="86"/>
      <c r="AF89" s="86"/>
      <c r="AG89" s="86" t="s">
        <v>232</v>
      </c>
      <c r="AH89" s="87"/>
      <c r="AI89" s="87"/>
      <c r="AJ89" s="87"/>
      <c r="AK89" s="87"/>
      <c r="AL89" s="87">
        <v>0</v>
      </c>
      <c r="AM89" s="87">
        <v>22.04</v>
      </c>
      <c r="AN89" s="87">
        <v>0</v>
      </c>
      <c r="AO89" s="87">
        <v>0</v>
      </c>
      <c r="AP89" s="87">
        <v>0</v>
      </c>
      <c r="AQ89" s="87">
        <v>0</v>
      </c>
      <c r="AR89" s="87">
        <v>0</v>
      </c>
      <c r="AS89" s="87">
        <v>0</v>
      </c>
      <c r="AT89" s="87">
        <v>0</v>
      </c>
      <c r="AU89" s="87">
        <v>0</v>
      </c>
      <c r="AV89" s="87">
        <v>0</v>
      </c>
      <c r="AW89" s="87">
        <v>0</v>
      </c>
      <c r="AX89" s="87"/>
      <c r="AY89" s="88">
        <f t="shared" si="35"/>
        <v>22.04</v>
      </c>
      <c r="AZ89" s="88">
        <v>0</v>
      </c>
      <c r="BA89" s="88">
        <v>2400</v>
      </c>
      <c r="BB89" s="89" t="s">
        <v>249</v>
      </c>
    </row>
    <row r="90" spans="1:54" x14ac:dyDescent="0.3">
      <c r="A90" s="50"/>
      <c r="B90" s="50"/>
      <c r="C90" s="50"/>
      <c r="D90" s="50"/>
      <c r="E90" s="50"/>
      <c r="F90" s="50"/>
      <c r="G90" s="50" t="s">
        <v>148</v>
      </c>
      <c r="H90" s="51">
        <v>115</v>
      </c>
      <c r="I90" s="51">
        <v>115</v>
      </c>
      <c r="J90" s="51">
        <v>230</v>
      </c>
      <c r="K90" s="51">
        <v>0</v>
      </c>
      <c r="L90" s="51">
        <v>115</v>
      </c>
      <c r="M90" s="51">
        <v>115</v>
      </c>
      <c r="N90" s="51">
        <v>115</v>
      </c>
      <c r="O90" s="51">
        <v>115</v>
      </c>
      <c r="P90" s="51">
        <v>115</v>
      </c>
      <c r="Q90" s="51">
        <v>115</v>
      </c>
      <c r="R90" s="51">
        <v>115</v>
      </c>
      <c r="S90" s="51">
        <v>115</v>
      </c>
      <c r="T90" s="51"/>
      <c r="U90" s="51">
        <f t="shared" si="34"/>
        <v>1380</v>
      </c>
      <c r="V90" s="67">
        <v>1400</v>
      </c>
      <c r="W90" s="67">
        <v>1400</v>
      </c>
      <c r="AB90" s="86"/>
      <c r="AC90" s="86"/>
      <c r="AD90" s="86"/>
      <c r="AE90" s="86"/>
      <c r="AF90" s="86"/>
      <c r="AG90" s="86" t="s">
        <v>148</v>
      </c>
      <c r="AH90" s="87"/>
      <c r="AI90" s="87"/>
      <c r="AJ90" s="87"/>
      <c r="AK90" s="87"/>
      <c r="AL90" s="87">
        <v>116</v>
      </c>
      <c r="AM90" s="87">
        <v>116</v>
      </c>
      <c r="AN90" s="87">
        <v>241</v>
      </c>
      <c r="AO90" s="87">
        <v>0</v>
      </c>
      <c r="AP90" s="87">
        <v>115</v>
      </c>
      <c r="AQ90" s="87">
        <v>115</v>
      </c>
      <c r="AR90" s="87">
        <v>115</v>
      </c>
      <c r="AS90" s="87">
        <v>230</v>
      </c>
      <c r="AT90" s="87">
        <v>0</v>
      </c>
      <c r="AU90" s="87">
        <v>115</v>
      </c>
      <c r="AV90" s="87">
        <v>116</v>
      </c>
      <c r="AW90" s="87">
        <v>116</v>
      </c>
      <c r="AX90" s="87"/>
      <c r="AY90" s="88">
        <f t="shared" si="35"/>
        <v>1395</v>
      </c>
      <c r="AZ90" s="88">
        <v>1500</v>
      </c>
      <c r="BA90" s="88">
        <v>1400</v>
      </c>
      <c r="BB90" s="89"/>
    </row>
    <row r="91" spans="1:54" x14ac:dyDescent="0.3">
      <c r="A91" s="50"/>
      <c r="B91" s="50"/>
      <c r="C91" s="50"/>
      <c r="D91" s="50"/>
      <c r="E91" s="50"/>
      <c r="F91" s="50"/>
      <c r="G91" s="50" t="s">
        <v>149</v>
      </c>
      <c r="H91" s="51">
        <v>287.19</v>
      </c>
      <c r="I91" s="51">
        <v>277.58999999999997</v>
      </c>
      <c r="J91" s="51">
        <v>296</v>
      </c>
      <c r="K91" s="51">
        <v>391.54</v>
      </c>
      <c r="L91" s="51">
        <v>266.11</v>
      </c>
      <c r="M91" s="51">
        <v>294.98</v>
      </c>
      <c r="N91" s="51">
        <v>436.26</v>
      </c>
      <c r="O91" s="51">
        <v>30.18</v>
      </c>
      <c r="P91" s="51">
        <v>26.68</v>
      </c>
      <c r="Q91" s="51">
        <v>428.65</v>
      </c>
      <c r="R91" s="51">
        <v>237.68</v>
      </c>
      <c r="S91" s="51">
        <v>270.11</v>
      </c>
      <c r="T91" s="51"/>
      <c r="U91" s="51">
        <f t="shared" si="34"/>
        <v>3242.97</v>
      </c>
      <c r="V91" s="67">
        <v>4100</v>
      </c>
      <c r="W91" s="67">
        <v>4100</v>
      </c>
      <c r="AB91" s="86"/>
      <c r="AC91" s="86"/>
      <c r="AD91" s="86"/>
      <c r="AE91" s="86"/>
      <c r="AF91" s="86"/>
      <c r="AG91" s="86" t="s">
        <v>149</v>
      </c>
      <c r="AH91" s="87"/>
      <c r="AI91" s="87"/>
      <c r="AJ91" s="87"/>
      <c r="AK91" s="87"/>
      <c r="AL91" s="87">
        <v>278.04000000000002</v>
      </c>
      <c r="AM91" s="87">
        <v>270.92</v>
      </c>
      <c r="AN91" s="87">
        <v>259.54000000000002</v>
      </c>
      <c r="AO91" s="87">
        <v>435.49</v>
      </c>
      <c r="AP91" s="87">
        <v>221.98</v>
      </c>
      <c r="AQ91" s="87">
        <v>279.07</v>
      </c>
      <c r="AR91" s="87">
        <v>425.18</v>
      </c>
      <c r="AS91" s="87">
        <v>276.11</v>
      </c>
      <c r="AT91" s="87">
        <v>276.11</v>
      </c>
      <c r="AU91" s="87">
        <v>463.17</v>
      </c>
      <c r="AV91" s="87">
        <v>370.92</v>
      </c>
      <c r="AW91" s="87">
        <v>400.19</v>
      </c>
      <c r="AX91" s="87"/>
      <c r="AY91" s="88">
        <f t="shared" si="35"/>
        <v>3956.72</v>
      </c>
      <c r="AZ91" s="88">
        <v>4200</v>
      </c>
      <c r="BA91" s="88">
        <v>4100</v>
      </c>
      <c r="BB91" s="89"/>
    </row>
    <row r="92" spans="1:54" x14ac:dyDescent="0.3">
      <c r="A92" s="50"/>
      <c r="B92" s="50"/>
      <c r="C92" s="50"/>
      <c r="D92" s="50"/>
      <c r="E92" s="50"/>
      <c r="F92" s="50"/>
      <c r="G92" s="50" t="s">
        <v>150</v>
      </c>
      <c r="H92" s="51">
        <v>0</v>
      </c>
      <c r="I92" s="51">
        <v>0</v>
      </c>
      <c r="J92" s="51">
        <v>0</v>
      </c>
      <c r="K92" s="51">
        <v>9900</v>
      </c>
      <c r="L92" s="51">
        <v>0</v>
      </c>
      <c r="M92" s="51">
        <v>0</v>
      </c>
      <c r="N92" s="51">
        <v>1100</v>
      </c>
      <c r="O92" s="51">
        <v>0</v>
      </c>
      <c r="P92" s="51">
        <v>0</v>
      </c>
      <c r="Q92" s="51">
        <v>0</v>
      </c>
      <c r="R92" s="51">
        <v>0</v>
      </c>
      <c r="S92" s="51">
        <v>0</v>
      </c>
      <c r="T92" s="51"/>
      <c r="U92" s="51">
        <f t="shared" si="34"/>
        <v>11000</v>
      </c>
      <c r="V92" s="67">
        <v>11000</v>
      </c>
      <c r="W92" s="67">
        <v>10500</v>
      </c>
      <c r="AB92" s="86"/>
      <c r="AC92" s="86"/>
      <c r="AD92" s="86"/>
      <c r="AE92" s="86"/>
      <c r="AF92" s="86"/>
      <c r="AG92" s="86" t="s">
        <v>150</v>
      </c>
      <c r="AH92" s="87"/>
      <c r="AI92" s="87"/>
      <c r="AJ92" s="87"/>
      <c r="AK92" s="87"/>
      <c r="AL92" s="87">
        <v>0</v>
      </c>
      <c r="AM92" s="87">
        <v>8240</v>
      </c>
      <c r="AN92" s="87">
        <v>2060</v>
      </c>
      <c r="AO92" s="87">
        <v>0</v>
      </c>
      <c r="AP92" s="87">
        <v>0</v>
      </c>
      <c r="AQ92" s="87">
        <v>0</v>
      </c>
      <c r="AR92" s="87">
        <v>0</v>
      </c>
      <c r="AS92" s="87">
        <v>0</v>
      </c>
      <c r="AT92" s="87">
        <v>0</v>
      </c>
      <c r="AU92" s="87">
        <v>0</v>
      </c>
      <c r="AV92" s="87">
        <v>0</v>
      </c>
      <c r="AW92" s="87">
        <v>0</v>
      </c>
      <c r="AX92" s="87"/>
      <c r="AY92" s="88">
        <f t="shared" si="35"/>
        <v>10300</v>
      </c>
      <c r="AZ92" s="88">
        <v>12000</v>
      </c>
      <c r="BA92" s="88">
        <v>11000</v>
      </c>
      <c r="BB92" s="89"/>
    </row>
    <row r="93" spans="1:54" x14ac:dyDescent="0.3">
      <c r="A93" s="50"/>
      <c r="B93" s="50"/>
      <c r="C93" s="50"/>
      <c r="D93" s="50"/>
      <c r="E93" s="50"/>
      <c r="F93" s="50"/>
      <c r="G93" s="50" t="s">
        <v>151</v>
      </c>
      <c r="H93" s="51">
        <v>770</v>
      </c>
      <c r="I93" s="51">
        <v>1017.5</v>
      </c>
      <c r="J93" s="51">
        <v>1540</v>
      </c>
      <c r="K93" s="51">
        <v>0</v>
      </c>
      <c r="L93" s="51">
        <v>1045</v>
      </c>
      <c r="M93" s="51">
        <v>247.5</v>
      </c>
      <c r="N93" s="51">
        <v>805</v>
      </c>
      <c r="O93" s="51">
        <v>488.75</v>
      </c>
      <c r="P93" s="51">
        <v>690</v>
      </c>
      <c r="Q93" s="51">
        <v>718.75</v>
      </c>
      <c r="R93" s="51">
        <v>742.5</v>
      </c>
      <c r="S93" s="51">
        <v>440</v>
      </c>
      <c r="T93" s="51"/>
      <c r="U93" s="51">
        <f t="shared" si="34"/>
        <v>8505</v>
      </c>
      <c r="V93" s="67">
        <v>9500</v>
      </c>
      <c r="W93" s="67">
        <v>9500</v>
      </c>
      <c r="AB93" s="86"/>
      <c r="AC93" s="86"/>
      <c r="AD93" s="86"/>
      <c r="AE93" s="86"/>
      <c r="AF93" s="86"/>
      <c r="AG93" s="86" t="s">
        <v>151</v>
      </c>
      <c r="AH93" s="87"/>
      <c r="AI93" s="87"/>
      <c r="AJ93" s="87"/>
      <c r="AK93" s="87"/>
      <c r="AL93" s="87">
        <v>1023.75</v>
      </c>
      <c r="AM93" s="87">
        <v>1102.5</v>
      </c>
      <c r="AN93" s="87">
        <v>1155</v>
      </c>
      <c r="AO93" s="87">
        <v>551.25</v>
      </c>
      <c r="AP93" s="87">
        <v>813.75</v>
      </c>
      <c r="AQ93" s="87">
        <v>341.25</v>
      </c>
      <c r="AR93" s="87">
        <v>446.25</v>
      </c>
      <c r="AS93" s="87">
        <v>632.5</v>
      </c>
      <c r="AT93" s="87">
        <v>797.5</v>
      </c>
      <c r="AU93" s="87">
        <v>972.9</v>
      </c>
      <c r="AV93" s="87">
        <v>813.75</v>
      </c>
      <c r="AW93" s="87">
        <v>971.25</v>
      </c>
      <c r="AX93" s="87"/>
      <c r="AY93" s="88">
        <f t="shared" si="35"/>
        <v>9621.65</v>
      </c>
      <c r="AZ93" s="88">
        <v>8500</v>
      </c>
      <c r="BA93" s="88">
        <v>9500</v>
      </c>
      <c r="BB93" s="89" t="s">
        <v>248</v>
      </c>
    </row>
    <row r="94" spans="1:54" x14ac:dyDescent="0.3">
      <c r="A94" s="50"/>
      <c r="B94" s="50"/>
      <c r="C94" s="50"/>
      <c r="D94" s="50"/>
      <c r="E94" s="50"/>
      <c r="F94" s="50"/>
      <c r="G94" s="50" t="s">
        <v>200</v>
      </c>
      <c r="H94" s="51">
        <v>0</v>
      </c>
      <c r="I94" s="51">
        <v>0</v>
      </c>
      <c r="J94" s="51">
        <v>0</v>
      </c>
      <c r="K94" s="51">
        <v>0</v>
      </c>
      <c r="L94" s="51">
        <v>0</v>
      </c>
      <c r="M94" s="51">
        <v>0</v>
      </c>
      <c r="N94" s="51">
        <v>0</v>
      </c>
      <c r="O94" s="51">
        <v>0</v>
      </c>
      <c r="P94" s="51">
        <v>0</v>
      </c>
      <c r="Q94" s="51">
        <v>0</v>
      </c>
      <c r="R94" s="51">
        <v>0</v>
      </c>
      <c r="S94" s="51">
        <v>0</v>
      </c>
      <c r="T94" s="51"/>
      <c r="U94" s="51">
        <v>0</v>
      </c>
      <c r="V94" s="67">
        <v>9000</v>
      </c>
      <c r="W94" s="67">
        <v>9000</v>
      </c>
      <c r="AB94" s="86"/>
      <c r="AC94" s="86"/>
      <c r="AD94" s="86"/>
      <c r="AE94" s="86"/>
      <c r="AF94" s="86"/>
      <c r="AG94" s="86" t="s">
        <v>200</v>
      </c>
      <c r="AH94" s="87"/>
      <c r="AI94" s="87"/>
      <c r="AJ94" s="87"/>
      <c r="AK94" s="87"/>
      <c r="AL94" s="87">
        <v>0</v>
      </c>
      <c r="AM94" s="87">
        <v>0</v>
      </c>
      <c r="AN94" s="87">
        <v>0</v>
      </c>
      <c r="AO94" s="87">
        <v>0</v>
      </c>
      <c r="AP94" s="87">
        <v>0</v>
      </c>
      <c r="AQ94" s="87">
        <v>0</v>
      </c>
      <c r="AR94" s="87">
        <v>0</v>
      </c>
      <c r="AS94" s="87">
        <v>0</v>
      </c>
      <c r="AT94" s="87">
        <v>0</v>
      </c>
      <c r="AU94" s="87">
        <v>0</v>
      </c>
      <c r="AV94" s="87">
        <v>0</v>
      </c>
      <c r="AW94" s="87">
        <v>0</v>
      </c>
      <c r="AX94" s="87"/>
      <c r="AY94" s="88">
        <f t="shared" si="35"/>
        <v>0</v>
      </c>
      <c r="AZ94" s="88">
        <v>9000</v>
      </c>
      <c r="BA94" s="88">
        <v>9000</v>
      </c>
      <c r="BB94" s="89"/>
    </row>
    <row r="95" spans="1:54" x14ac:dyDescent="0.3">
      <c r="A95" s="50"/>
      <c r="B95" s="50"/>
      <c r="C95" s="50"/>
      <c r="D95" s="50"/>
      <c r="E95" s="50"/>
      <c r="F95" s="50"/>
      <c r="G95" s="50" t="s">
        <v>233</v>
      </c>
      <c r="H95" s="51">
        <v>0</v>
      </c>
      <c r="I95" s="51">
        <v>0</v>
      </c>
      <c r="J95" s="51">
        <v>0</v>
      </c>
      <c r="K95" s="51">
        <v>0</v>
      </c>
      <c r="L95" s="51">
        <v>375</v>
      </c>
      <c r="M95" s="51">
        <v>0</v>
      </c>
      <c r="N95" s="51">
        <v>0</v>
      </c>
      <c r="O95" s="51">
        <v>0</v>
      </c>
      <c r="P95" s="51">
        <v>0</v>
      </c>
      <c r="Q95" s="51">
        <v>0</v>
      </c>
      <c r="R95" s="51">
        <v>0</v>
      </c>
      <c r="S95" s="51">
        <v>0</v>
      </c>
      <c r="T95" s="51"/>
      <c r="U95" s="51">
        <f t="shared" si="34"/>
        <v>375</v>
      </c>
      <c r="V95" s="67">
        <v>400</v>
      </c>
      <c r="W95" s="67">
        <v>400</v>
      </c>
      <c r="AB95" s="86"/>
      <c r="AC95" s="86"/>
      <c r="AD95" s="86"/>
      <c r="AE95" s="86"/>
      <c r="AF95" s="86"/>
      <c r="AG95" s="86" t="s">
        <v>233</v>
      </c>
      <c r="AH95" s="87"/>
      <c r="AI95" s="87"/>
      <c r="AJ95" s="87"/>
      <c r="AK95" s="87"/>
      <c r="AL95" s="87">
        <v>0</v>
      </c>
      <c r="AM95" s="87">
        <v>0</v>
      </c>
      <c r="AN95" s="87">
        <v>0</v>
      </c>
      <c r="AO95" s="87">
        <v>0</v>
      </c>
      <c r="AP95" s="87">
        <v>0</v>
      </c>
      <c r="AQ95" s="87">
        <v>0</v>
      </c>
      <c r="AR95" s="87">
        <v>375</v>
      </c>
      <c r="AS95" s="87">
        <v>0</v>
      </c>
      <c r="AT95" s="87">
        <v>0</v>
      </c>
      <c r="AU95" s="87">
        <v>0</v>
      </c>
      <c r="AV95" s="87">
        <v>0</v>
      </c>
      <c r="AW95" s="87">
        <v>0</v>
      </c>
      <c r="AX95" s="87"/>
      <c r="AY95" s="88">
        <f t="shared" si="35"/>
        <v>375</v>
      </c>
      <c r="AZ95" s="88">
        <v>200</v>
      </c>
      <c r="BA95" s="88">
        <v>400</v>
      </c>
      <c r="BB95" s="89" t="s">
        <v>250</v>
      </c>
    </row>
    <row r="96" spans="1:54" x14ac:dyDescent="0.3">
      <c r="A96" s="50"/>
      <c r="B96" s="50"/>
      <c r="C96" s="50"/>
      <c r="D96" s="50"/>
      <c r="E96" s="50"/>
      <c r="F96" s="50"/>
      <c r="G96" s="50" t="s">
        <v>152</v>
      </c>
      <c r="H96" s="51">
        <v>435</v>
      </c>
      <c r="I96" s="51">
        <v>0</v>
      </c>
      <c r="J96" s="51">
        <v>1275</v>
      </c>
      <c r="K96" s="51">
        <v>315</v>
      </c>
      <c r="L96" s="51">
        <v>420</v>
      </c>
      <c r="M96" s="51">
        <v>300</v>
      </c>
      <c r="N96" s="51">
        <v>360</v>
      </c>
      <c r="O96" s="51">
        <v>435</v>
      </c>
      <c r="P96" s="51">
        <v>0</v>
      </c>
      <c r="Q96" s="51">
        <v>0</v>
      </c>
      <c r="R96" s="51">
        <v>1910</v>
      </c>
      <c r="S96" s="51">
        <v>1350</v>
      </c>
      <c r="T96" s="51"/>
      <c r="U96" s="51">
        <f t="shared" si="34"/>
        <v>6800</v>
      </c>
      <c r="V96" s="67">
        <v>30000</v>
      </c>
      <c r="W96" s="67">
        <v>30000</v>
      </c>
      <c r="AB96" s="86"/>
      <c r="AC96" s="86"/>
      <c r="AD96" s="86"/>
      <c r="AE96" s="86"/>
      <c r="AF96" s="86"/>
      <c r="AG96" s="86" t="s">
        <v>152</v>
      </c>
      <c r="AH96" s="87"/>
      <c r="AI96" s="87"/>
      <c r="AJ96" s="87"/>
      <c r="AK96" s="87"/>
      <c r="AL96" s="87">
        <v>540</v>
      </c>
      <c r="AM96" s="87">
        <v>60</v>
      </c>
      <c r="AN96" s="87">
        <v>0</v>
      </c>
      <c r="AO96" s="87">
        <v>0</v>
      </c>
      <c r="AP96" s="87">
        <v>650</v>
      </c>
      <c r="AQ96" s="87">
        <v>1360</v>
      </c>
      <c r="AR96" s="87">
        <v>170</v>
      </c>
      <c r="AS96" s="87">
        <v>60</v>
      </c>
      <c r="AT96" s="87">
        <v>1700</v>
      </c>
      <c r="AU96" s="87">
        <v>0</v>
      </c>
      <c r="AV96" s="87">
        <v>1245</v>
      </c>
      <c r="AW96" s="87">
        <v>1215</v>
      </c>
      <c r="AX96" s="87"/>
      <c r="AY96" s="88">
        <f t="shared" si="35"/>
        <v>7000</v>
      </c>
      <c r="AZ96" s="88">
        <v>30000</v>
      </c>
      <c r="BA96" s="88">
        <v>30000</v>
      </c>
      <c r="BB96" s="89" t="s">
        <v>251</v>
      </c>
    </row>
    <row r="97" spans="1:54" x14ac:dyDescent="0.3">
      <c r="A97" s="50"/>
      <c r="B97" s="50"/>
      <c r="C97" s="50"/>
      <c r="D97" s="50"/>
      <c r="E97" s="50"/>
      <c r="F97" s="50"/>
      <c r="G97" s="50" t="s">
        <v>153</v>
      </c>
      <c r="H97" s="51">
        <v>445.33</v>
      </c>
      <c r="I97" s="51">
        <v>445.33</v>
      </c>
      <c r="J97" s="51">
        <v>445.33</v>
      </c>
      <c r="K97" s="51">
        <v>365.4</v>
      </c>
      <c r="L97" s="51">
        <v>365.4</v>
      </c>
      <c r="M97" s="51">
        <v>365.4</v>
      </c>
      <c r="N97" s="51">
        <v>365.4</v>
      </c>
      <c r="O97" s="51">
        <v>445.33</v>
      </c>
      <c r="P97" s="51">
        <v>445.33</v>
      </c>
      <c r="Q97" s="51">
        <v>445.33</v>
      </c>
      <c r="R97" s="51">
        <v>445.33</v>
      </c>
      <c r="S97" s="51">
        <v>445.33</v>
      </c>
      <c r="T97" s="51"/>
      <c r="U97" s="51">
        <f t="shared" si="34"/>
        <v>5024.24</v>
      </c>
      <c r="V97" s="67">
        <v>5400</v>
      </c>
      <c r="W97" s="115">
        <v>5400</v>
      </c>
      <c r="AB97" s="86"/>
      <c r="AC97" s="86"/>
      <c r="AD97" s="86"/>
      <c r="AE97" s="86"/>
      <c r="AF97" s="86"/>
      <c r="AG97" s="86" t="s">
        <v>153</v>
      </c>
      <c r="AH97" s="87"/>
      <c r="AI97" s="87"/>
      <c r="AJ97" s="87"/>
      <c r="AK97" s="87"/>
      <c r="AL97" s="87">
        <v>445.33</v>
      </c>
      <c r="AM97" s="87">
        <v>445.33</v>
      </c>
      <c r="AN97" s="87">
        <v>445.33</v>
      </c>
      <c r="AO97" s="87">
        <v>365.4</v>
      </c>
      <c r="AP97" s="87">
        <v>365.4</v>
      </c>
      <c r="AQ97" s="87">
        <v>365.4</v>
      </c>
      <c r="AR97" s="87">
        <v>445.33</v>
      </c>
      <c r="AS97" s="87">
        <v>445.33</v>
      </c>
      <c r="AT97" s="87">
        <v>445.33</v>
      </c>
      <c r="AU97" s="87">
        <v>445.33</v>
      </c>
      <c r="AV97" s="87">
        <v>445.33</v>
      </c>
      <c r="AW97" s="87">
        <v>445.33</v>
      </c>
      <c r="AX97" s="87"/>
      <c r="AY97" s="88">
        <f t="shared" si="35"/>
        <v>5104.17</v>
      </c>
      <c r="AZ97" s="88">
        <v>5400</v>
      </c>
      <c r="BA97" s="88">
        <v>5400</v>
      </c>
      <c r="BB97" s="89"/>
    </row>
    <row r="98" spans="1:54" x14ac:dyDescent="0.3">
      <c r="A98" s="50"/>
      <c r="B98" s="50"/>
      <c r="C98" s="50"/>
      <c r="D98" s="50"/>
      <c r="E98" s="50"/>
      <c r="F98" s="50"/>
      <c r="G98" s="50" t="s">
        <v>154</v>
      </c>
      <c r="H98" s="51">
        <v>0</v>
      </c>
      <c r="I98" s="51">
        <v>0</v>
      </c>
      <c r="J98" s="51">
        <v>0</v>
      </c>
      <c r="K98" s="51">
        <v>0</v>
      </c>
      <c r="L98" s="51">
        <v>0</v>
      </c>
      <c r="M98" s="51">
        <v>266</v>
      </c>
      <c r="N98" s="51">
        <v>0</v>
      </c>
      <c r="O98" s="51">
        <v>0</v>
      </c>
      <c r="P98" s="51">
        <v>28</v>
      </c>
      <c r="Q98" s="51">
        <v>0</v>
      </c>
      <c r="R98" s="51">
        <v>0</v>
      </c>
      <c r="S98" s="51">
        <v>0</v>
      </c>
      <c r="T98" s="51"/>
      <c r="U98" s="51">
        <f t="shared" si="34"/>
        <v>294</v>
      </c>
      <c r="V98" s="67">
        <v>1800</v>
      </c>
      <c r="W98" s="67">
        <v>1800</v>
      </c>
      <c r="AB98" s="86"/>
      <c r="AC98" s="86"/>
      <c r="AD98" s="86"/>
      <c r="AE98" s="86"/>
      <c r="AF98" s="86"/>
      <c r="AG98" s="86" t="s">
        <v>154</v>
      </c>
      <c r="AH98" s="87"/>
      <c r="AI98" s="87"/>
      <c r="AJ98" s="87"/>
      <c r="AK98" s="87"/>
      <c r="AL98" s="87">
        <v>0</v>
      </c>
      <c r="AM98" s="87">
        <v>0</v>
      </c>
      <c r="AN98" s="87">
        <v>384</v>
      </c>
      <c r="AO98" s="87">
        <v>0</v>
      </c>
      <c r="AP98" s="87">
        <v>469.18</v>
      </c>
      <c r="AQ98" s="87">
        <v>103.23</v>
      </c>
      <c r="AR98" s="87">
        <v>0</v>
      </c>
      <c r="AS98" s="87">
        <v>0</v>
      </c>
      <c r="AT98" s="87">
        <v>0</v>
      </c>
      <c r="AU98" s="87">
        <v>0</v>
      </c>
      <c r="AV98" s="87">
        <v>0</v>
      </c>
      <c r="AW98" s="87">
        <v>0</v>
      </c>
      <c r="AX98" s="87"/>
      <c r="AY98" s="88">
        <f t="shared" si="35"/>
        <v>956.41</v>
      </c>
      <c r="AZ98" s="88">
        <v>1800</v>
      </c>
      <c r="BA98" s="88">
        <v>1800</v>
      </c>
      <c r="BB98" s="89"/>
    </row>
    <row r="99" spans="1:54" x14ac:dyDescent="0.3">
      <c r="A99" s="50"/>
      <c r="B99" s="50"/>
      <c r="C99" s="50"/>
      <c r="D99" s="50"/>
      <c r="E99" s="50"/>
      <c r="F99" s="50"/>
      <c r="G99" s="50" t="s">
        <v>238</v>
      </c>
      <c r="H99" s="51">
        <v>0</v>
      </c>
      <c r="I99" s="51">
        <v>0</v>
      </c>
      <c r="J99" s="51">
        <v>0</v>
      </c>
      <c r="K99" s="51">
        <v>0</v>
      </c>
      <c r="L99" s="51">
        <v>0</v>
      </c>
      <c r="M99" s="51">
        <v>0</v>
      </c>
      <c r="N99" s="51">
        <v>0</v>
      </c>
      <c r="O99" s="51">
        <v>0</v>
      </c>
      <c r="P99" s="51">
        <v>0</v>
      </c>
      <c r="Q99" s="51">
        <v>0</v>
      </c>
      <c r="R99" s="51">
        <v>0</v>
      </c>
      <c r="S99" s="51">
        <v>0</v>
      </c>
      <c r="T99" s="51"/>
      <c r="U99" s="51">
        <v>0</v>
      </c>
      <c r="V99" s="67">
        <v>300</v>
      </c>
      <c r="W99" s="67">
        <v>300</v>
      </c>
      <c r="AB99" s="86"/>
      <c r="AC99" s="86"/>
      <c r="AD99" s="86"/>
      <c r="AE99" s="86"/>
      <c r="AF99" s="86"/>
      <c r="AG99" s="86" t="s">
        <v>238</v>
      </c>
      <c r="AH99" s="87"/>
      <c r="AI99" s="87"/>
      <c r="AJ99" s="87"/>
      <c r="AK99" s="87"/>
      <c r="AL99" s="87">
        <v>0</v>
      </c>
      <c r="AM99" s="87">
        <v>0</v>
      </c>
      <c r="AN99" s="87">
        <v>0</v>
      </c>
      <c r="AO99" s="87">
        <v>0</v>
      </c>
      <c r="AP99" s="87">
        <v>0</v>
      </c>
      <c r="AQ99" s="87">
        <v>0</v>
      </c>
      <c r="AR99" s="87">
        <v>0</v>
      </c>
      <c r="AS99" s="87">
        <v>0</v>
      </c>
      <c r="AT99" s="87">
        <v>0</v>
      </c>
      <c r="AU99" s="87">
        <v>0</v>
      </c>
      <c r="AV99" s="87">
        <v>0</v>
      </c>
      <c r="AW99" s="87">
        <v>0</v>
      </c>
      <c r="AX99" s="87"/>
      <c r="AY99" s="88">
        <f t="shared" si="35"/>
        <v>0</v>
      </c>
      <c r="AZ99" s="88">
        <v>250</v>
      </c>
      <c r="BA99" s="88">
        <v>300</v>
      </c>
      <c r="BB99" s="89"/>
    </row>
    <row r="100" spans="1:54" x14ac:dyDescent="0.3">
      <c r="A100" s="50"/>
      <c r="B100" s="50"/>
      <c r="C100" s="50"/>
      <c r="D100" s="50"/>
      <c r="E100" s="50"/>
      <c r="F100" s="50"/>
      <c r="G100" s="50" t="s">
        <v>155</v>
      </c>
      <c r="H100" s="51">
        <v>0</v>
      </c>
      <c r="I100" s="51">
        <v>365</v>
      </c>
      <c r="J100" s="51">
        <v>0</v>
      </c>
      <c r="K100" s="51">
        <v>0</v>
      </c>
      <c r="L100" s="51">
        <v>0</v>
      </c>
      <c r="M100" s="51">
        <v>0</v>
      </c>
      <c r="N100" s="51">
        <v>219</v>
      </c>
      <c r="O100" s="51">
        <v>0</v>
      </c>
      <c r="P100" s="51">
        <v>0</v>
      </c>
      <c r="Q100" s="51">
        <v>0</v>
      </c>
      <c r="R100" s="51">
        <v>0</v>
      </c>
      <c r="S100" s="51">
        <v>0</v>
      </c>
      <c r="T100" s="51"/>
      <c r="U100" s="51">
        <f t="shared" si="34"/>
        <v>584</v>
      </c>
      <c r="V100" s="67">
        <v>2500</v>
      </c>
      <c r="W100" s="67">
        <v>2500</v>
      </c>
      <c r="AB100" s="86"/>
      <c r="AC100" s="86"/>
      <c r="AD100" s="86"/>
      <c r="AE100" s="86"/>
      <c r="AF100" s="86"/>
      <c r="AG100" s="86" t="s">
        <v>155</v>
      </c>
      <c r="AH100" s="87"/>
      <c r="AI100" s="87"/>
      <c r="AJ100" s="87"/>
      <c r="AK100" s="87"/>
      <c r="AL100" s="87">
        <v>0</v>
      </c>
      <c r="AM100" s="87">
        <v>0</v>
      </c>
      <c r="AN100" s="87">
        <v>0</v>
      </c>
      <c r="AO100" s="87">
        <v>0</v>
      </c>
      <c r="AP100" s="87">
        <v>0</v>
      </c>
      <c r="AQ100" s="87">
        <v>0</v>
      </c>
      <c r="AR100" s="87">
        <v>0</v>
      </c>
      <c r="AS100" s="87">
        <v>0</v>
      </c>
      <c r="AT100" s="87">
        <v>0</v>
      </c>
      <c r="AU100" s="87">
        <v>0</v>
      </c>
      <c r="AV100" s="87">
        <v>63</v>
      </c>
      <c r="AW100" s="87">
        <v>0</v>
      </c>
      <c r="AX100" s="87"/>
      <c r="AY100" s="88">
        <f t="shared" si="35"/>
        <v>63</v>
      </c>
      <c r="AZ100" s="88">
        <v>2500</v>
      </c>
      <c r="BA100" s="88">
        <v>2500</v>
      </c>
      <c r="BB100" s="89"/>
    </row>
    <row r="101" spans="1:54" x14ac:dyDescent="0.3">
      <c r="A101" s="50"/>
      <c r="B101" s="50"/>
      <c r="C101" s="50"/>
      <c r="D101" s="50"/>
      <c r="E101" s="50"/>
      <c r="F101" s="50"/>
      <c r="G101" s="50" t="s">
        <v>156</v>
      </c>
      <c r="H101" s="51">
        <v>13.59</v>
      </c>
      <c r="I101" s="51">
        <v>1982.42</v>
      </c>
      <c r="J101" s="51">
        <v>1019.56</v>
      </c>
      <c r="K101" s="51">
        <v>0</v>
      </c>
      <c r="L101" s="51">
        <v>0</v>
      </c>
      <c r="M101" s="51">
        <v>0</v>
      </c>
      <c r="N101" s="51">
        <v>700</v>
      </c>
      <c r="O101" s="51">
        <v>0</v>
      </c>
      <c r="P101" s="51">
        <v>0</v>
      </c>
      <c r="Q101" s="51">
        <v>3900</v>
      </c>
      <c r="R101" s="51">
        <v>0</v>
      </c>
      <c r="S101" s="51">
        <v>15</v>
      </c>
      <c r="T101" s="51"/>
      <c r="U101" s="51">
        <f t="shared" si="34"/>
        <v>7630.57</v>
      </c>
      <c r="V101" s="67">
        <v>30000</v>
      </c>
      <c r="W101" s="67">
        <v>30000</v>
      </c>
      <c r="AB101" s="86"/>
      <c r="AC101" s="86"/>
      <c r="AD101" s="86"/>
      <c r="AE101" s="86"/>
      <c r="AF101" s="86"/>
      <c r="AG101" s="86" t="s">
        <v>156</v>
      </c>
      <c r="AH101" s="87"/>
      <c r="AI101" s="87"/>
      <c r="AJ101" s="87"/>
      <c r="AK101" s="87"/>
      <c r="AL101" s="87">
        <v>0</v>
      </c>
      <c r="AM101" s="87">
        <v>378</v>
      </c>
      <c r="AN101" s="87">
        <v>425</v>
      </c>
      <c r="AO101" s="87">
        <v>0</v>
      </c>
      <c r="AP101" s="87">
        <v>100</v>
      </c>
      <c r="AQ101" s="87">
        <v>0</v>
      </c>
      <c r="AR101" s="87">
        <v>99</v>
      </c>
      <c r="AS101" s="87">
        <v>-100</v>
      </c>
      <c r="AT101" s="87">
        <v>0</v>
      </c>
      <c r="AU101" s="87">
        <v>0</v>
      </c>
      <c r="AV101" s="87">
        <v>0</v>
      </c>
      <c r="AW101" s="87">
        <v>0</v>
      </c>
      <c r="AX101" s="87"/>
      <c r="AY101" s="88">
        <f t="shared" si="35"/>
        <v>902</v>
      </c>
      <c r="AZ101" s="88">
        <v>30000</v>
      </c>
      <c r="BA101" s="88">
        <v>30000</v>
      </c>
      <c r="BB101" s="89" t="s">
        <v>251</v>
      </c>
    </row>
    <row r="102" spans="1:54" x14ac:dyDescent="0.3">
      <c r="A102" s="50"/>
      <c r="B102" s="50"/>
      <c r="C102" s="50"/>
      <c r="D102" s="50"/>
      <c r="E102" s="50"/>
      <c r="F102" s="50"/>
      <c r="G102" s="50" t="s">
        <v>157</v>
      </c>
      <c r="H102" s="51">
        <v>321.43</v>
      </c>
      <c r="I102" s="51">
        <v>48.7</v>
      </c>
      <c r="J102" s="51">
        <v>56.42</v>
      </c>
      <c r="K102" s="51">
        <v>42.97</v>
      </c>
      <c r="L102" s="51">
        <v>0</v>
      </c>
      <c r="M102" s="51">
        <v>141.88</v>
      </c>
      <c r="N102" s="51">
        <v>101.79</v>
      </c>
      <c r="O102" s="51">
        <v>0</v>
      </c>
      <c r="P102" s="51">
        <v>317.31</v>
      </c>
      <c r="Q102" s="51">
        <v>153.86000000000001</v>
      </c>
      <c r="R102" s="51">
        <v>120.73</v>
      </c>
      <c r="S102" s="51">
        <v>0</v>
      </c>
      <c r="T102" s="51"/>
      <c r="U102" s="51">
        <f t="shared" si="34"/>
        <v>1305.0899999999999</v>
      </c>
      <c r="V102" s="67">
        <v>2000</v>
      </c>
      <c r="W102" s="67">
        <v>2000</v>
      </c>
      <c r="AB102" s="86"/>
      <c r="AC102" s="86"/>
      <c r="AD102" s="86"/>
      <c r="AE102" s="86"/>
      <c r="AF102" s="86"/>
      <c r="AG102" s="86" t="s">
        <v>157</v>
      </c>
      <c r="AH102" s="87"/>
      <c r="AI102" s="87"/>
      <c r="AJ102" s="87"/>
      <c r="AK102" s="87"/>
      <c r="AL102" s="87">
        <v>0</v>
      </c>
      <c r="AM102" s="87">
        <v>75.34</v>
      </c>
      <c r="AN102" s="87">
        <v>66.03</v>
      </c>
      <c r="AO102" s="87">
        <v>100.89</v>
      </c>
      <c r="AP102" s="87">
        <v>0</v>
      </c>
      <c r="AQ102" s="87">
        <v>0</v>
      </c>
      <c r="AR102" s="87">
        <v>43.21</v>
      </c>
      <c r="AS102" s="87">
        <v>147.96</v>
      </c>
      <c r="AT102" s="87">
        <v>64.540000000000006</v>
      </c>
      <c r="AU102" s="87">
        <v>0</v>
      </c>
      <c r="AV102" s="87">
        <v>0</v>
      </c>
      <c r="AW102" s="87">
        <v>45.66</v>
      </c>
      <c r="AX102" s="87"/>
      <c r="AY102" s="88">
        <f t="shared" si="35"/>
        <v>543.63</v>
      </c>
      <c r="AZ102" s="88">
        <v>2000</v>
      </c>
      <c r="BA102" s="88">
        <v>2000</v>
      </c>
      <c r="BB102" s="89"/>
    </row>
    <row r="103" spans="1:54" x14ac:dyDescent="0.3">
      <c r="A103" s="50"/>
      <c r="B103" s="50"/>
      <c r="C103" s="50"/>
      <c r="D103" s="50"/>
      <c r="E103" s="50"/>
      <c r="F103" s="50"/>
      <c r="G103" s="50" t="s">
        <v>158</v>
      </c>
      <c r="H103" s="51">
        <v>0</v>
      </c>
      <c r="I103" s="51">
        <v>0</v>
      </c>
      <c r="J103" s="51">
        <v>0</v>
      </c>
      <c r="K103" s="51">
        <v>800</v>
      </c>
      <c r="L103" s="51">
        <v>0</v>
      </c>
      <c r="M103" s="51">
        <v>2292.25</v>
      </c>
      <c r="N103" s="51">
        <v>0</v>
      </c>
      <c r="O103" s="51">
        <v>0</v>
      </c>
      <c r="P103" s="51">
        <v>0</v>
      </c>
      <c r="Q103" s="51">
        <v>0</v>
      </c>
      <c r="R103" s="51">
        <v>0</v>
      </c>
      <c r="S103" s="51">
        <v>0</v>
      </c>
      <c r="T103" s="51"/>
      <c r="U103" s="51">
        <f t="shared" si="34"/>
        <v>3092.25</v>
      </c>
      <c r="V103" s="67">
        <v>5000</v>
      </c>
      <c r="W103" s="67">
        <v>5000</v>
      </c>
      <c r="AB103" s="86"/>
      <c r="AC103" s="86"/>
      <c r="AD103" s="86"/>
      <c r="AE103" s="86"/>
      <c r="AF103" s="86"/>
      <c r="AG103" s="86" t="s">
        <v>158</v>
      </c>
      <c r="AH103" s="87"/>
      <c r="AI103" s="87"/>
      <c r="AJ103" s="87"/>
      <c r="AK103" s="87"/>
      <c r="AL103" s="87">
        <v>0</v>
      </c>
      <c r="AM103" s="87">
        <v>0</v>
      </c>
      <c r="AN103" s="87">
        <v>0</v>
      </c>
      <c r="AO103" s="87">
        <v>0</v>
      </c>
      <c r="AP103" s="87">
        <v>0</v>
      </c>
      <c r="AQ103" s="87">
        <v>275.2</v>
      </c>
      <c r="AR103" s="87">
        <v>0</v>
      </c>
      <c r="AS103" s="87">
        <v>0</v>
      </c>
      <c r="AT103" s="87">
        <v>0</v>
      </c>
      <c r="AU103" s="87">
        <v>0</v>
      </c>
      <c r="AV103" s="87">
        <v>0</v>
      </c>
      <c r="AW103" s="87">
        <v>0</v>
      </c>
      <c r="AX103" s="87"/>
      <c r="AY103" s="88">
        <f t="shared" si="35"/>
        <v>275.2</v>
      </c>
      <c r="AZ103" s="88">
        <v>5000</v>
      </c>
      <c r="BA103" s="88">
        <v>5000</v>
      </c>
      <c r="BB103" s="89"/>
    </row>
    <row r="104" spans="1:54" x14ac:dyDescent="0.3">
      <c r="A104" s="50"/>
      <c r="B104" s="50"/>
      <c r="C104" s="50"/>
      <c r="D104" s="50"/>
      <c r="E104" s="50"/>
      <c r="F104" s="50"/>
      <c r="G104" s="50" t="s">
        <v>159</v>
      </c>
      <c r="H104" s="51">
        <v>0</v>
      </c>
      <c r="I104" s="51">
        <v>0.45</v>
      </c>
      <c r="J104" s="51">
        <v>0</v>
      </c>
      <c r="K104" s="51">
        <v>0</v>
      </c>
      <c r="L104" s="51">
        <v>0</v>
      </c>
      <c r="M104" s="51">
        <v>0</v>
      </c>
      <c r="N104" s="51">
        <v>0</v>
      </c>
      <c r="O104" s="51">
        <v>0</v>
      </c>
      <c r="P104" s="51">
        <v>0</v>
      </c>
      <c r="Q104" s="51">
        <v>0</v>
      </c>
      <c r="R104" s="51">
        <v>0</v>
      </c>
      <c r="S104" s="51">
        <v>0</v>
      </c>
      <c r="T104" s="51"/>
      <c r="U104" s="51">
        <f t="shared" si="34"/>
        <v>0.45</v>
      </c>
      <c r="V104" s="67">
        <v>2500</v>
      </c>
      <c r="W104" s="67">
        <v>2500</v>
      </c>
      <c r="AB104" s="86"/>
      <c r="AC104" s="86"/>
      <c r="AD104" s="86"/>
      <c r="AE104" s="86"/>
      <c r="AF104" s="86"/>
      <c r="AG104" s="86" t="s">
        <v>159</v>
      </c>
      <c r="AH104" s="87"/>
      <c r="AI104" s="87"/>
      <c r="AJ104" s="87"/>
      <c r="AK104" s="87"/>
      <c r="AL104" s="87">
        <v>66.88</v>
      </c>
      <c r="AM104" s="87">
        <v>157.94</v>
      </c>
      <c r="AN104" s="87">
        <v>166.05</v>
      </c>
      <c r="AO104" s="87">
        <v>0</v>
      </c>
      <c r="AP104" s="87">
        <v>0</v>
      </c>
      <c r="AQ104" s="87">
        <v>0</v>
      </c>
      <c r="AR104" s="87">
        <v>0</v>
      </c>
      <c r="AS104" s="87">
        <v>0</v>
      </c>
      <c r="AT104" s="87">
        <v>248.76</v>
      </c>
      <c r="AU104" s="87">
        <v>0</v>
      </c>
      <c r="AV104" s="87">
        <v>127.06</v>
      </c>
      <c r="AW104" s="87">
        <v>76.099999999999994</v>
      </c>
      <c r="AX104" s="87"/>
      <c r="AY104" s="88">
        <f t="shared" si="35"/>
        <v>842.79</v>
      </c>
      <c r="AZ104" s="88">
        <v>2500</v>
      </c>
      <c r="BA104" s="88">
        <v>2500</v>
      </c>
      <c r="BB104" s="89"/>
    </row>
    <row r="105" spans="1:54" x14ac:dyDescent="0.3">
      <c r="A105" s="50"/>
      <c r="B105" s="50"/>
      <c r="C105" s="50"/>
      <c r="D105" s="50"/>
      <c r="E105" s="50"/>
      <c r="F105" s="50"/>
      <c r="G105" s="50" t="s">
        <v>160</v>
      </c>
      <c r="H105" s="51">
        <v>50</v>
      </c>
      <c r="I105" s="51">
        <v>100</v>
      </c>
      <c r="J105" s="51">
        <v>50</v>
      </c>
      <c r="K105" s="51">
        <v>50</v>
      </c>
      <c r="L105" s="51">
        <v>50</v>
      </c>
      <c r="M105" s="51">
        <v>50</v>
      </c>
      <c r="N105" s="51">
        <v>0</v>
      </c>
      <c r="O105" s="51">
        <v>50</v>
      </c>
      <c r="P105" s="51">
        <v>50</v>
      </c>
      <c r="Q105" s="51">
        <v>50</v>
      </c>
      <c r="R105" s="51">
        <v>100</v>
      </c>
      <c r="S105" s="51">
        <v>50</v>
      </c>
      <c r="T105" s="51"/>
      <c r="U105" s="51">
        <f t="shared" si="34"/>
        <v>650</v>
      </c>
      <c r="V105" s="67">
        <v>800</v>
      </c>
      <c r="W105" s="67">
        <v>800</v>
      </c>
      <c r="AB105" s="86"/>
      <c r="AC105" s="86"/>
      <c r="AD105" s="86"/>
      <c r="AE105" s="86"/>
      <c r="AF105" s="86"/>
      <c r="AG105" s="86" t="s">
        <v>160</v>
      </c>
      <c r="AH105" s="87"/>
      <c r="AI105" s="87"/>
      <c r="AJ105" s="87"/>
      <c r="AK105" s="87"/>
      <c r="AL105" s="87">
        <v>50</v>
      </c>
      <c r="AM105" s="87">
        <v>50</v>
      </c>
      <c r="AN105" s="87">
        <v>0</v>
      </c>
      <c r="AO105" s="87">
        <v>0</v>
      </c>
      <c r="AP105" s="87">
        <v>150</v>
      </c>
      <c r="AQ105" s="87">
        <v>100</v>
      </c>
      <c r="AR105" s="87">
        <v>50</v>
      </c>
      <c r="AS105" s="87">
        <v>0</v>
      </c>
      <c r="AT105" s="87">
        <v>0</v>
      </c>
      <c r="AU105" s="87">
        <v>50</v>
      </c>
      <c r="AV105" s="87">
        <v>50</v>
      </c>
      <c r="AW105" s="87">
        <v>50</v>
      </c>
      <c r="AX105" s="87"/>
      <c r="AY105" s="88">
        <f t="shared" si="35"/>
        <v>550</v>
      </c>
      <c r="AZ105" s="88">
        <v>800</v>
      </c>
      <c r="BA105" s="88">
        <v>800</v>
      </c>
      <c r="BB105" s="89"/>
    </row>
    <row r="106" spans="1:54" ht="15" thickBot="1" x14ac:dyDescent="0.35">
      <c r="A106" s="50"/>
      <c r="B106" s="50"/>
      <c r="C106" s="50"/>
      <c r="D106" s="50"/>
      <c r="E106" s="50"/>
      <c r="F106" s="50"/>
      <c r="G106" s="50" t="s">
        <v>161</v>
      </c>
      <c r="H106" s="52">
        <v>0</v>
      </c>
      <c r="I106" s="52">
        <v>183.75</v>
      </c>
      <c r="J106" s="52">
        <v>35.770000000000003</v>
      </c>
      <c r="K106" s="52">
        <v>103.47</v>
      </c>
      <c r="L106" s="52">
        <v>67.41</v>
      </c>
      <c r="M106" s="52">
        <v>128.22</v>
      </c>
      <c r="N106" s="52">
        <v>24.99</v>
      </c>
      <c r="O106" s="52">
        <v>83.79</v>
      </c>
      <c r="P106" s="52">
        <v>108.78</v>
      </c>
      <c r="Q106" s="52">
        <v>13.69</v>
      </c>
      <c r="R106" s="52">
        <v>74.489999999999995</v>
      </c>
      <c r="S106" s="52">
        <v>177.15</v>
      </c>
      <c r="T106" s="52"/>
      <c r="U106" s="52">
        <f t="shared" si="34"/>
        <v>1001.51</v>
      </c>
      <c r="V106" s="69">
        <v>1600</v>
      </c>
      <c r="W106" s="69">
        <v>1600</v>
      </c>
      <c r="AB106" s="86"/>
      <c r="AC106" s="86"/>
      <c r="AD106" s="86"/>
      <c r="AE106" s="86"/>
      <c r="AF106" s="86"/>
      <c r="AG106" s="86" t="s">
        <v>161</v>
      </c>
      <c r="AH106" s="90"/>
      <c r="AI106" s="90"/>
      <c r="AJ106" s="90"/>
      <c r="AK106" s="90"/>
      <c r="AL106" s="90">
        <v>135.31</v>
      </c>
      <c r="AM106" s="90">
        <v>0</v>
      </c>
      <c r="AN106" s="90">
        <v>93.71</v>
      </c>
      <c r="AO106" s="90">
        <v>72.73</v>
      </c>
      <c r="AP106" s="90">
        <v>304.77999999999997</v>
      </c>
      <c r="AQ106" s="90">
        <v>41.26</v>
      </c>
      <c r="AR106" s="90">
        <v>24.99</v>
      </c>
      <c r="AS106" s="90">
        <v>87.21</v>
      </c>
      <c r="AT106" s="90">
        <v>51.92</v>
      </c>
      <c r="AU106" s="90">
        <v>91.27</v>
      </c>
      <c r="AV106" s="90">
        <v>51.85</v>
      </c>
      <c r="AW106" s="90">
        <v>209.36</v>
      </c>
      <c r="AX106" s="90"/>
      <c r="AY106" s="91">
        <f t="shared" si="35"/>
        <v>1164.3900000000001</v>
      </c>
      <c r="AZ106" s="91">
        <v>1600</v>
      </c>
      <c r="BA106" s="91">
        <v>1600</v>
      </c>
      <c r="BB106" s="92"/>
    </row>
    <row r="107" spans="1:54" x14ac:dyDescent="0.3">
      <c r="A107" s="50"/>
      <c r="B107" s="50"/>
      <c r="C107" s="50"/>
      <c r="D107" s="50"/>
      <c r="E107" s="50"/>
      <c r="F107" s="50" t="s">
        <v>162</v>
      </c>
      <c r="G107" s="50"/>
      <c r="H107" s="51">
        <f t="shared" ref="H107:S107" si="36">ROUND(SUM(H75:H106),5)</f>
        <v>4493.18</v>
      </c>
      <c r="I107" s="51">
        <f t="shared" si="36"/>
        <v>7609.06</v>
      </c>
      <c r="J107" s="51">
        <f t="shared" si="36"/>
        <v>8331.69</v>
      </c>
      <c r="K107" s="51">
        <f t="shared" si="36"/>
        <v>17856.61</v>
      </c>
      <c r="L107" s="51">
        <f t="shared" si="36"/>
        <v>7525.12</v>
      </c>
      <c r="M107" s="51">
        <f t="shared" si="36"/>
        <v>7691.51</v>
      </c>
      <c r="N107" s="51">
        <f t="shared" si="36"/>
        <v>7263.43</v>
      </c>
      <c r="O107" s="51">
        <f t="shared" si="36"/>
        <v>4806.33</v>
      </c>
      <c r="P107" s="51">
        <f t="shared" si="36"/>
        <v>5613.65</v>
      </c>
      <c r="Q107" s="51">
        <f t="shared" si="36"/>
        <v>9512.99</v>
      </c>
      <c r="R107" s="51">
        <f t="shared" si="36"/>
        <v>5872.19</v>
      </c>
      <c r="S107" s="51">
        <f t="shared" si="36"/>
        <v>7610.44</v>
      </c>
      <c r="T107" s="51"/>
      <c r="U107" s="51">
        <f t="shared" si="34"/>
        <v>94186.2</v>
      </c>
      <c r="V107" s="51">
        <f>ROUND(SUM(V75:V106),5)</f>
        <v>172150</v>
      </c>
      <c r="W107" s="51">
        <f>ROUND(SUM(W75:W106),5)</f>
        <v>179150</v>
      </c>
      <c r="AB107" s="86"/>
      <c r="AC107" s="86"/>
      <c r="AD107" s="86"/>
      <c r="AE107" s="86"/>
      <c r="AF107" s="86" t="s">
        <v>162</v>
      </c>
      <c r="AG107" s="86"/>
      <c r="AH107" s="87"/>
      <c r="AI107" s="87"/>
      <c r="AJ107" s="87"/>
      <c r="AK107" s="87"/>
      <c r="AL107" s="87">
        <f t="shared" ref="AL107:AW107" si="37">ROUND(SUM(AL75:AL106),5)</f>
        <v>4929.17</v>
      </c>
      <c r="AM107" s="87">
        <f t="shared" si="37"/>
        <v>14242.92</v>
      </c>
      <c r="AN107" s="87">
        <f t="shared" si="37"/>
        <v>8152.11</v>
      </c>
      <c r="AO107" s="87">
        <f t="shared" si="37"/>
        <v>4982.71</v>
      </c>
      <c r="AP107" s="87">
        <f t="shared" si="37"/>
        <v>6733.26</v>
      </c>
      <c r="AQ107" s="87">
        <f t="shared" si="37"/>
        <v>7174.94</v>
      </c>
      <c r="AR107" s="87">
        <f t="shared" si="37"/>
        <v>5153.53</v>
      </c>
      <c r="AS107" s="87">
        <f t="shared" si="37"/>
        <v>4437.3500000000004</v>
      </c>
      <c r="AT107" s="87">
        <f t="shared" si="37"/>
        <v>6705.44</v>
      </c>
      <c r="AU107" s="87">
        <f t="shared" si="37"/>
        <v>6301.27</v>
      </c>
      <c r="AV107" s="87">
        <f t="shared" si="37"/>
        <v>6681.79</v>
      </c>
      <c r="AW107" s="87">
        <f t="shared" si="37"/>
        <v>8959.83</v>
      </c>
      <c r="AX107" s="87"/>
      <c r="AY107" s="88">
        <f t="shared" si="35"/>
        <v>84454.32</v>
      </c>
      <c r="AZ107" s="88">
        <f>ROUND(SUM(AZ75:AZ106),5)</f>
        <v>171350</v>
      </c>
      <c r="BA107" s="88">
        <f>ROUND(SUM(BA75:BA106),5)</f>
        <v>172150</v>
      </c>
      <c r="BB107" s="89"/>
    </row>
    <row r="108" spans="1:54" x14ac:dyDescent="0.3">
      <c r="A108" s="50"/>
      <c r="B108" s="50"/>
      <c r="C108" s="50"/>
      <c r="D108" s="50"/>
      <c r="E108" s="50"/>
      <c r="F108" s="50" t="s">
        <v>163</v>
      </c>
      <c r="G108" s="50"/>
      <c r="H108" s="51"/>
      <c r="I108" s="51"/>
      <c r="J108" s="51"/>
      <c r="K108" s="51"/>
      <c r="L108" s="51"/>
      <c r="M108" s="51"/>
      <c r="N108" s="51"/>
      <c r="O108" s="51"/>
      <c r="P108" s="51"/>
      <c r="Q108" s="51"/>
      <c r="R108" s="51"/>
      <c r="S108" s="51"/>
      <c r="T108" s="51"/>
      <c r="U108" s="51"/>
      <c r="V108" s="51"/>
      <c r="W108" s="51"/>
      <c r="AB108" s="86"/>
      <c r="AC108" s="86"/>
      <c r="AD108" s="86"/>
      <c r="AE108" s="86"/>
      <c r="AF108" s="86" t="s">
        <v>163</v>
      </c>
      <c r="AG108" s="86"/>
      <c r="AH108" s="87"/>
      <c r="AI108" s="87"/>
      <c r="AJ108" s="87"/>
      <c r="AK108" s="87"/>
      <c r="AL108" s="87"/>
      <c r="AM108" s="87"/>
      <c r="AN108" s="87"/>
      <c r="AO108" s="87"/>
      <c r="AP108" s="87"/>
      <c r="AQ108" s="87"/>
      <c r="AR108" s="87"/>
      <c r="AS108" s="87"/>
      <c r="AT108" s="87"/>
      <c r="AU108" s="87"/>
      <c r="AV108" s="87"/>
      <c r="AW108" s="87"/>
      <c r="AX108" s="87"/>
      <c r="AY108" s="88"/>
      <c r="AZ108" s="88"/>
      <c r="BA108" s="88"/>
      <c r="BB108" s="89"/>
    </row>
    <row r="109" spans="1:54" x14ac:dyDescent="0.3">
      <c r="A109" s="50"/>
      <c r="B109" s="50"/>
      <c r="C109" s="50"/>
      <c r="D109" s="50"/>
      <c r="E109" s="50"/>
      <c r="F109" s="50"/>
      <c r="G109" s="50" t="s">
        <v>164</v>
      </c>
      <c r="H109" s="51">
        <v>1792.61</v>
      </c>
      <c r="I109" s="51">
        <v>0</v>
      </c>
      <c r="J109" s="51">
        <v>0</v>
      </c>
      <c r="K109" s="51">
        <v>387.88</v>
      </c>
      <c r="L109" s="51">
        <v>2523.37</v>
      </c>
      <c r="M109" s="51">
        <v>2521.58</v>
      </c>
      <c r="N109" s="51">
        <v>2451.31</v>
      </c>
      <c r="O109" s="51">
        <v>0</v>
      </c>
      <c r="P109" s="51">
        <v>223.58</v>
      </c>
      <c r="Q109" s="51">
        <v>0</v>
      </c>
      <c r="R109" s="51">
        <v>295</v>
      </c>
      <c r="S109" s="51">
        <v>190</v>
      </c>
      <c r="T109" s="51"/>
      <c r="U109" s="51">
        <f t="shared" ref="U109:U121" si="38">ROUND(SUM(H109:T109),5)</f>
        <v>10385.33</v>
      </c>
      <c r="V109" s="67">
        <v>10000</v>
      </c>
      <c r="W109" s="67">
        <v>11000</v>
      </c>
      <c r="AB109" s="86"/>
      <c r="AC109" s="86"/>
      <c r="AD109" s="86"/>
      <c r="AE109" s="86"/>
      <c r="AF109" s="86"/>
      <c r="AG109" s="86" t="s">
        <v>164</v>
      </c>
      <c r="AH109" s="87"/>
      <c r="AI109" s="87"/>
      <c r="AJ109" s="87"/>
      <c r="AK109" s="87"/>
      <c r="AL109" s="87">
        <v>0</v>
      </c>
      <c r="AM109" s="87">
        <v>0</v>
      </c>
      <c r="AN109" s="87">
        <v>256.27</v>
      </c>
      <c r="AO109" s="87">
        <v>0</v>
      </c>
      <c r="AP109" s="87">
        <v>309.95</v>
      </c>
      <c r="AQ109" s="87">
        <v>0</v>
      </c>
      <c r="AR109" s="87">
        <v>0</v>
      </c>
      <c r="AS109" s="87">
        <v>100</v>
      </c>
      <c r="AT109" s="87">
        <v>0</v>
      </c>
      <c r="AU109" s="87">
        <v>0</v>
      </c>
      <c r="AV109" s="87">
        <v>0</v>
      </c>
      <c r="AW109" s="87">
        <v>0</v>
      </c>
      <c r="AX109" s="87"/>
      <c r="AY109" s="88">
        <f t="shared" ref="AY109:AY121" si="39">ROUND(SUM(AH109:AX109),5)</f>
        <v>666.22</v>
      </c>
      <c r="AZ109" s="88">
        <v>10000</v>
      </c>
      <c r="BA109" s="88">
        <v>10000</v>
      </c>
      <c r="BB109" s="89"/>
    </row>
    <row r="110" spans="1:54" x14ac:dyDescent="0.3">
      <c r="A110" s="50"/>
      <c r="B110" s="50"/>
      <c r="C110" s="50"/>
      <c r="D110" s="50"/>
      <c r="E110" s="50"/>
      <c r="F110" s="50"/>
      <c r="G110" s="50" t="s">
        <v>165</v>
      </c>
      <c r="H110" s="51">
        <v>0</v>
      </c>
      <c r="I110" s="51">
        <v>0</v>
      </c>
      <c r="J110" s="51">
        <v>0</v>
      </c>
      <c r="K110" s="51">
        <v>0</v>
      </c>
      <c r="L110" s="51">
        <v>0</v>
      </c>
      <c r="M110" s="51">
        <v>0</v>
      </c>
      <c r="N110" s="51">
        <v>0</v>
      </c>
      <c r="O110" s="51">
        <v>0</v>
      </c>
      <c r="P110" s="51">
        <v>0</v>
      </c>
      <c r="Q110" s="51">
        <v>0</v>
      </c>
      <c r="R110" s="51">
        <v>0</v>
      </c>
      <c r="S110" s="51">
        <v>0</v>
      </c>
      <c r="T110" s="51"/>
      <c r="U110" s="51">
        <f t="shared" si="38"/>
        <v>0</v>
      </c>
      <c r="V110" s="67">
        <v>2500</v>
      </c>
      <c r="W110" s="67">
        <v>2500</v>
      </c>
      <c r="AB110" s="86"/>
      <c r="AC110" s="86"/>
      <c r="AD110" s="86"/>
      <c r="AE110" s="86"/>
      <c r="AF110" s="86"/>
      <c r="AG110" s="86" t="s">
        <v>165</v>
      </c>
      <c r="AH110" s="87"/>
      <c r="AI110" s="87"/>
      <c r="AJ110" s="87"/>
      <c r="AK110" s="87"/>
      <c r="AL110" s="87">
        <v>260</v>
      </c>
      <c r="AM110" s="87">
        <v>0</v>
      </c>
      <c r="AN110" s="87">
        <v>0</v>
      </c>
      <c r="AO110" s="87">
        <v>0</v>
      </c>
      <c r="AP110" s="87">
        <v>0</v>
      </c>
      <c r="AQ110" s="87">
        <v>0</v>
      </c>
      <c r="AR110" s="87">
        <v>55.85</v>
      </c>
      <c r="AS110" s="87">
        <v>0</v>
      </c>
      <c r="AT110" s="87">
        <v>675</v>
      </c>
      <c r="AU110" s="87">
        <v>1525</v>
      </c>
      <c r="AV110" s="87">
        <v>591</v>
      </c>
      <c r="AW110" s="87">
        <v>0</v>
      </c>
      <c r="AX110" s="87"/>
      <c r="AY110" s="88">
        <f t="shared" si="39"/>
        <v>3106.85</v>
      </c>
      <c r="AZ110" s="88">
        <v>2500</v>
      </c>
      <c r="BA110" s="88">
        <v>2500</v>
      </c>
      <c r="BB110" s="89"/>
    </row>
    <row r="111" spans="1:54" x14ac:dyDescent="0.3">
      <c r="A111" s="50"/>
      <c r="B111" s="50"/>
      <c r="C111" s="50"/>
      <c r="D111" s="50"/>
      <c r="E111" s="50"/>
      <c r="F111" s="50"/>
      <c r="G111" s="50" t="s">
        <v>166</v>
      </c>
      <c r="H111" s="51">
        <v>2668.6</v>
      </c>
      <c r="I111" s="51">
        <v>61</v>
      </c>
      <c r="J111" s="51">
        <v>490</v>
      </c>
      <c r="K111" s="51">
        <v>2228</v>
      </c>
      <c r="L111" s="51">
        <v>2690</v>
      </c>
      <c r="M111" s="51">
        <v>490</v>
      </c>
      <c r="N111" s="51">
        <v>490</v>
      </c>
      <c r="O111" s="51">
        <v>2228</v>
      </c>
      <c r="P111" s="51">
        <v>539.59</v>
      </c>
      <c r="Q111" s="51">
        <v>1304</v>
      </c>
      <c r="R111" s="51">
        <v>2228</v>
      </c>
      <c r="S111" s="51">
        <v>490</v>
      </c>
      <c r="T111" s="51"/>
      <c r="U111" s="51">
        <f t="shared" si="38"/>
        <v>15907.19</v>
      </c>
      <c r="V111" s="67">
        <v>16500</v>
      </c>
      <c r="W111" s="67">
        <v>16500</v>
      </c>
      <c r="AB111" s="86"/>
      <c r="AC111" s="86"/>
      <c r="AD111" s="86"/>
      <c r="AE111" s="86"/>
      <c r="AF111" s="86"/>
      <c r="AG111" s="86" t="s">
        <v>166</v>
      </c>
      <c r="AH111" s="87"/>
      <c r="AI111" s="87"/>
      <c r="AJ111" s="87"/>
      <c r="AK111" s="87"/>
      <c r="AL111" s="87">
        <v>2873.04</v>
      </c>
      <c r="AM111" s="87">
        <v>51</v>
      </c>
      <c r="AN111" s="87">
        <v>490</v>
      </c>
      <c r="AO111" s="87">
        <v>2228</v>
      </c>
      <c r="AP111" s="87">
        <v>650.25</v>
      </c>
      <c r="AQ111" s="87">
        <v>497.74</v>
      </c>
      <c r="AR111" s="87">
        <v>2718</v>
      </c>
      <c r="AS111" s="87">
        <v>490</v>
      </c>
      <c r="AT111" s="87">
        <v>490</v>
      </c>
      <c r="AU111" s="87">
        <v>504.13</v>
      </c>
      <c r="AV111" s="87">
        <v>2433.37</v>
      </c>
      <c r="AW111" s="87">
        <v>0</v>
      </c>
      <c r="AX111" s="87"/>
      <c r="AY111" s="88">
        <f t="shared" si="39"/>
        <v>13425.53</v>
      </c>
      <c r="AZ111" s="88">
        <v>16500</v>
      </c>
      <c r="BA111" s="88">
        <v>16500</v>
      </c>
      <c r="BB111" s="89"/>
    </row>
    <row r="112" spans="1:54" x14ac:dyDescent="0.3">
      <c r="A112" s="50"/>
      <c r="B112" s="50"/>
      <c r="C112" s="50"/>
      <c r="D112" s="50"/>
      <c r="E112" s="50"/>
      <c r="F112" s="50"/>
      <c r="G112" s="50" t="s">
        <v>167</v>
      </c>
      <c r="H112" s="51">
        <v>900</v>
      </c>
      <c r="I112" s="51">
        <v>46</v>
      </c>
      <c r="J112" s="51">
        <v>450</v>
      </c>
      <c r="K112" s="51">
        <v>496</v>
      </c>
      <c r="L112" s="51">
        <v>691</v>
      </c>
      <c r="M112" s="51">
        <v>450</v>
      </c>
      <c r="N112" s="51">
        <v>546</v>
      </c>
      <c r="O112" s="51">
        <v>500</v>
      </c>
      <c r="P112" s="51">
        <v>546</v>
      </c>
      <c r="Q112" s="51">
        <v>500</v>
      </c>
      <c r="R112" s="51">
        <v>496</v>
      </c>
      <c r="S112" s="51">
        <v>450</v>
      </c>
      <c r="T112" s="51"/>
      <c r="U112" s="51">
        <f t="shared" si="38"/>
        <v>6071</v>
      </c>
      <c r="V112" s="67">
        <v>6000</v>
      </c>
      <c r="W112" s="67">
        <v>6800</v>
      </c>
      <c r="AB112" s="86"/>
      <c r="AC112" s="86"/>
      <c r="AD112" s="86"/>
      <c r="AE112" s="86"/>
      <c r="AF112" s="86"/>
      <c r="AG112" s="86" t="s">
        <v>167</v>
      </c>
      <c r="AH112" s="87"/>
      <c r="AI112" s="87"/>
      <c r="AJ112" s="87"/>
      <c r="AK112" s="87"/>
      <c r="AL112" s="87">
        <v>496</v>
      </c>
      <c r="AM112" s="87">
        <v>450</v>
      </c>
      <c r="AN112" s="87">
        <v>496</v>
      </c>
      <c r="AO112" s="87">
        <v>450</v>
      </c>
      <c r="AP112" s="87">
        <v>450</v>
      </c>
      <c r="AQ112" s="87">
        <v>496</v>
      </c>
      <c r="AR112" s="87">
        <v>496</v>
      </c>
      <c r="AS112" s="87">
        <v>450</v>
      </c>
      <c r="AT112" s="87">
        <v>496</v>
      </c>
      <c r="AU112" s="87">
        <v>450</v>
      </c>
      <c r="AV112" s="87">
        <v>496</v>
      </c>
      <c r="AW112" s="87">
        <v>450</v>
      </c>
      <c r="AX112" s="87"/>
      <c r="AY112" s="88">
        <f t="shared" si="39"/>
        <v>5676</v>
      </c>
      <c r="AZ112" s="88">
        <v>6000</v>
      </c>
      <c r="BA112" s="88">
        <v>6000</v>
      </c>
      <c r="BB112" s="89"/>
    </row>
    <row r="113" spans="1:56" x14ac:dyDescent="0.3">
      <c r="A113" s="50"/>
      <c r="B113" s="50"/>
      <c r="C113" s="50"/>
      <c r="D113" s="50"/>
      <c r="E113" s="50"/>
      <c r="F113" s="50"/>
      <c r="G113" s="50" t="s">
        <v>168</v>
      </c>
      <c r="H113" s="51">
        <v>0</v>
      </c>
      <c r="I113" s="51">
        <v>1400</v>
      </c>
      <c r="J113" s="51">
        <v>0</v>
      </c>
      <c r="K113" s="51">
        <v>0</v>
      </c>
      <c r="L113" s="51">
        <v>400</v>
      </c>
      <c r="M113" s="51">
        <v>0</v>
      </c>
      <c r="N113" s="51">
        <v>0</v>
      </c>
      <c r="O113" s="51">
        <v>0</v>
      </c>
      <c r="P113" s="51">
        <v>0</v>
      </c>
      <c r="Q113" s="51">
        <v>0</v>
      </c>
      <c r="R113" s="51">
        <v>0</v>
      </c>
      <c r="S113" s="51">
        <v>800</v>
      </c>
      <c r="T113" s="51"/>
      <c r="U113" s="51">
        <f t="shared" si="38"/>
        <v>2600</v>
      </c>
      <c r="V113" s="67">
        <v>2500</v>
      </c>
      <c r="W113" s="67">
        <v>2500</v>
      </c>
      <c r="AB113" s="86"/>
      <c r="AC113" s="86"/>
      <c r="AD113" s="86"/>
      <c r="AE113" s="86"/>
      <c r="AF113" s="86"/>
      <c r="AG113" s="86" t="s">
        <v>168</v>
      </c>
      <c r="AH113" s="87"/>
      <c r="AI113" s="87"/>
      <c r="AJ113" s="87"/>
      <c r="AK113" s="87"/>
      <c r="AL113" s="87">
        <v>300</v>
      </c>
      <c r="AM113" s="87">
        <v>0</v>
      </c>
      <c r="AN113" s="87">
        <v>0</v>
      </c>
      <c r="AO113" s="87">
        <v>0</v>
      </c>
      <c r="AP113" s="87">
        <v>0</v>
      </c>
      <c r="AQ113" s="87">
        <v>0</v>
      </c>
      <c r="AR113" s="87">
        <v>0</v>
      </c>
      <c r="AS113" s="87">
        <v>0</v>
      </c>
      <c r="AT113" s="87">
        <v>0</v>
      </c>
      <c r="AU113" s="87">
        <v>0</v>
      </c>
      <c r="AV113" s="87">
        <v>0</v>
      </c>
      <c r="AW113" s="87">
        <v>0</v>
      </c>
      <c r="AX113" s="87"/>
      <c r="AY113" s="88">
        <f t="shared" si="39"/>
        <v>300</v>
      </c>
      <c r="AZ113" s="88">
        <v>3500</v>
      </c>
      <c r="BA113" s="88">
        <v>2500</v>
      </c>
      <c r="BB113" s="89" t="s">
        <v>252</v>
      </c>
    </row>
    <row r="114" spans="1:56" x14ac:dyDescent="0.3">
      <c r="A114" s="50"/>
      <c r="B114" s="50"/>
      <c r="C114" s="50"/>
      <c r="D114" s="50"/>
      <c r="E114" s="50"/>
      <c r="F114" s="50"/>
      <c r="G114" s="50" t="s">
        <v>169</v>
      </c>
      <c r="H114" s="51">
        <v>0</v>
      </c>
      <c r="I114" s="51">
        <v>0</v>
      </c>
      <c r="J114" s="51">
        <v>155</v>
      </c>
      <c r="K114" s="51">
        <v>172</v>
      </c>
      <c r="L114" s="51">
        <v>0</v>
      </c>
      <c r="M114" s="51">
        <v>930</v>
      </c>
      <c r="N114" s="51">
        <v>0</v>
      </c>
      <c r="O114" s="51">
        <v>0</v>
      </c>
      <c r="P114" s="51">
        <v>305</v>
      </c>
      <c r="Q114" s="51">
        <v>0</v>
      </c>
      <c r="R114" s="51">
        <v>125</v>
      </c>
      <c r="S114" s="51">
        <v>465</v>
      </c>
      <c r="T114" s="51"/>
      <c r="U114" s="51">
        <f t="shared" si="38"/>
        <v>2152</v>
      </c>
      <c r="V114" s="67">
        <v>2500</v>
      </c>
      <c r="W114" s="67">
        <v>2500</v>
      </c>
      <c r="AB114" s="86"/>
      <c r="AC114" s="86"/>
      <c r="AD114" s="86"/>
      <c r="AE114" s="86"/>
      <c r="AF114" s="86"/>
      <c r="AG114" s="86" t="s">
        <v>169</v>
      </c>
      <c r="AH114" s="87"/>
      <c r="AI114" s="87"/>
      <c r="AJ114" s="87"/>
      <c r="AK114" s="87"/>
      <c r="AL114" s="87">
        <v>0</v>
      </c>
      <c r="AM114" s="87">
        <v>0</v>
      </c>
      <c r="AN114" s="87">
        <v>389</v>
      </c>
      <c r="AO114" s="87">
        <v>125</v>
      </c>
      <c r="AP114" s="87">
        <v>250</v>
      </c>
      <c r="AQ114" s="87">
        <v>0</v>
      </c>
      <c r="AR114" s="87">
        <v>0</v>
      </c>
      <c r="AS114" s="87">
        <v>0</v>
      </c>
      <c r="AT114" s="87">
        <v>560</v>
      </c>
      <c r="AU114" s="87">
        <v>0</v>
      </c>
      <c r="AV114" s="87">
        <v>250</v>
      </c>
      <c r="AW114" s="87">
        <v>0</v>
      </c>
      <c r="AX114" s="87"/>
      <c r="AY114" s="88">
        <f t="shared" si="39"/>
        <v>1574</v>
      </c>
      <c r="AZ114" s="88">
        <v>2500</v>
      </c>
      <c r="BA114" s="88">
        <v>2500</v>
      </c>
      <c r="BB114" s="89"/>
    </row>
    <row r="115" spans="1:56" ht="13.8" customHeight="1" x14ac:dyDescent="0.3">
      <c r="A115" s="50"/>
      <c r="B115" s="50"/>
      <c r="C115" s="50"/>
      <c r="D115" s="50"/>
      <c r="E115" s="50"/>
      <c r="F115" s="50"/>
      <c r="G115" s="50" t="s">
        <v>170</v>
      </c>
      <c r="H115" s="51">
        <v>0</v>
      </c>
      <c r="I115" s="51">
        <v>0</v>
      </c>
      <c r="J115" s="51">
        <v>0</v>
      </c>
      <c r="K115" s="51">
        <v>0</v>
      </c>
      <c r="L115" s="51">
        <v>0</v>
      </c>
      <c r="M115" s="51">
        <v>0</v>
      </c>
      <c r="N115" s="51">
        <v>0</v>
      </c>
      <c r="O115" s="51">
        <v>0</v>
      </c>
      <c r="P115" s="51">
        <v>0</v>
      </c>
      <c r="Q115" s="51">
        <v>0</v>
      </c>
      <c r="R115" s="51">
        <v>0</v>
      </c>
      <c r="S115" s="51">
        <v>0</v>
      </c>
      <c r="T115" s="51"/>
      <c r="U115" s="51">
        <v>0</v>
      </c>
      <c r="V115" s="67">
        <v>400</v>
      </c>
      <c r="W115" s="67">
        <v>400</v>
      </c>
      <c r="AB115" s="86"/>
      <c r="AC115" s="86"/>
      <c r="AD115" s="86"/>
      <c r="AE115" s="86"/>
      <c r="AF115" s="86"/>
      <c r="AG115" s="86" t="s">
        <v>170</v>
      </c>
      <c r="AH115" s="87"/>
      <c r="AI115" s="87"/>
      <c r="AJ115" s="87"/>
      <c r="AK115" s="87"/>
      <c r="AL115" s="87">
        <v>0</v>
      </c>
      <c r="AM115" s="87">
        <v>0</v>
      </c>
      <c r="AN115" s="87">
        <v>0</v>
      </c>
      <c r="AO115" s="87">
        <v>0</v>
      </c>
      <c r="AP115" s="87">
        <v>0</v>
      </c>
      <c r="AQ115" s="87">
        <v>0</v>
      </c>
      <c r="AR115" s="87">
        <v>0</v>
      </c>
      <c r="AS115" s="87">
        <v>0</v>
      </c>
      <c r="AT115" s="87">
        <v>0</v>
      </c>
      <c r="AU115" s="87">
        <v>0</v>
      </c>
      <c r="AV115" s="87">
        <v>0</v>
      </c>
      <c r="AW115" s="87">
        <v>0</v>
      </c>
      <c r="AX115" s="87"/>
      <c r="AY115" s="88">
        <f t="shared" si="39"/>
        <v>0</v>
      </c>
      <c r="AZ115" s="88">
        <v>250</v>
      </c>
      <c r="BA115" s="88">
        <v>400</v>
      </c>
      <c r="BB115" s="89" t="s">
        <v>263</v>
      </c>
    </row>
    <row r="116" spans="1:56" ht="13.8" customHeight="1" x14ac:dyDescent="0.3">
      <c r="A116" s="50"/>
      <c r="B116" s="50"/>
      <c r="C116" s="50"/>
      <c r="D116" s="50"/>
      <c r="E116" s="50"/>
      <c r="F116" s="50"/>
      <c r="G116" s="50" t="s">
        <v>171</v>
      </c>
      <c r="H116" s="51">
        <v>333.11</v>
      </c>
      <c r="I116" s="51">
        <v>0</v>
      </c>
      <c r="J116" s="51">
        <v>666.22</v>
      </c>
      <c r="K116" s="51">
        <v>71.599999999999994</v>
      </c>
      <c r="L116" s="51">
        <v>666.22</v>
      </c>
      <c r="M116" s="51">
        <v>8306.75</v>
      </c>
      <c r="N116" s="51">
        <v>149.18</v>
      </c>
      <c r="O116" s="51">
        <v>7675.8</v>
      </c>
      <c r="P116" s="51">
        <v>327.41000000000003</v>
      </c>
      <c r="Q116" s="51">
        <v>0</v>
      </c>
      <c r="R116" s="51">
        <v>0</v>
      </c>
      <c r="S116" s="51">
        <v>758.23</v>
      </c>
      <c r="T116" s="51"/>
      <c r="U116" s="51">
        <f t="shared" si="38"/>
        <v>18954.52</v>
      </c>
      <c r="V116" s="67">
        <v>7500</v>
      </c>
      <c r="W116" s="67">
        <v>7500</v>
      </c>
      <c r="AB116" s="86"/>
      <c r="AC116" s="86"/>
      <c r="AD116" s="86"/>
      <c r="AE116" s="86"/>
      <c r="AF116" s="86"/>
      <c r="AG116" s="86" t="s">
        <v>171</v>
      </c>
      <c r="AH116" s="87"/>
      <c r="AI116" s="87"/>
      <c r="AJ116" s="87"/>
      <c r="AK116" s="87"/>
      <c r="AL116" s="87">
        <v>305.61</v>
      </c>
      <c r="AM116" s="87">
        <v>0</v>
      </c>
      <c r="AN116" s="87">
        <v>611.22</v>
      </c>
      <c r="AO116" s="87">
        <v>305.61</v>
      </c>
      <c r="AP116" s="87">
        <v>305.61</v>
      </c>
      <c r="AQ116" s="87">
        <v>414.25</v>
      </c>
      <c r="AR116" s="87">
        <v>305.61</v>
      </c>
      <c r="AS116" s="87">
        <v>0</v>
      </c>
      <c r="AT116" s="87">
        <v>611.22</v>
      </c>
      <c r="AU116" s="87">
        <v>305.61</v>
      </c>
      <c r="AV116" s="87">
        <v>305.61</v>
      </c>
      <c r="AW116" s="87">
        <v>305.61</v>
      </c>
      <c r="AX116" s="87"/>
      <c r="AY116" s="88">
        <f t="shared" si="39"/>
        <v>3775.96</v>
      </c>
      <c r="AZ116" s="88">
        <v>3700</v>
      </c>
      <c r="BA116" s="88">
        <v>7500</v>
      </c>
      <c r="BB116" s="89" t="s">
        <v>262</v>
      </c>
    </row>
    <row r="117" spans="1:56" ht="13.8" customHeight="1" x14ac:dyDescent="0.3">
      <c r="A117" s="50"/>
      <c r="B117" s="50"/>
      <c r="C117" s="50"/>
      <c r="D117" s="50"/>
      <c r="E117" s="50"/>
      <c r="F117" s="50"/>
      <c r="G117" s="50" t="s">
        <v>172</v>
      </c>
      <c r="H117" s="51">
        <v>187.95</v>
      </c>
      <c r="I117" s="51">
        <v>185.81</v>
      </c>
      <c r="J117" s="51">
        <v>187.35</v>
      </c>
      <c r="K117" s="51">
        <v>471.19</v>
      </c>
      <c r="L117" s="51">
        <v>36.840000000000003</v>
      </c>
      <c r="M117" s="51">
        <v>228.9</v>
      </c>
      <c r="N117" s="51">
        <v>0</v>
      </c>
      <c r="O117" s="51">
        <v>385.67</v>
      </c>
      <c r="P117" s="51">
        <v>484.47</v>
      </c>
      <c r="Q117" s="51">
        <v>184.32</v>
      </c>
      <c r="R117" s="51">
        <v>384.91</v>
      </c>
      <c r="S117" s="51">
        <v>185.81</v>
      </c>
      <c r="T117" s="51"/>
      <c r="U117" s="51">
        <f t="shared" si="38"/>
        <v>2923.22</v>
      </c>
      <c r="V117" s="67">
        <v>4000</v>
      </c>
      <c r="W117" s="67">
        <v>4800</v>
      </c>
      <c r="AB117" s="86"/>
      <c r="AC117" s="86"/>
      <c r="AD117" s="86"/>
      <c r="AE117" s="86"/>
      <c r="AF117" s="86"/>
      <c r="AG117" s="86" t="s">
        <v>172</v>
      </c>
      <c r="AH117" s="87"/>
      <c r="AI117" s="87"/>
      <c r="AJ117" s="87"/>
      <c r="AK117" s="87"/>
      <c r="AL117" s="87">
        <v>330.81</v>
      </c>
      <c r="AM117" s="87">
        <v>96.32</v>
      </c>
      <c r="AN117" s="87">
        <v>169.12</v>
      </c>
      <c r="AO117" s="87">
        <v>97.75</v>
      </c>
      <c r="AP117" s="87">
        <v>134.9</v>
      </c>
      <c r="AQ117" s="87">
        <v>147.91</v>
      </c>
      <c r="AR117" s="87">
        <v>325.38</v>
      </c>
      <c r="AS117" s="87">
        <v>0</v>
      </c>
      <c r="AT117" s="87">
        <v>265.42</v>
      </c>
      <c r="AU117" s="87">
        <v>163.34</v>
      </c>
      <c r="AV117" s="87">
        <v>122.25</v>
      </c>
      <c r="AW117" s="87">
        <v>199.82</v>
      </c>
      <c r="AX117" s="87"/>
      <c r="AY117" s="88">
        <f t="shared" si="39"/>
        <v>2053.02</v>
      </c>
      <c r="AZ117" s="88">
        <v>2800</v>
      </c>
      <c r="BA117" s="88">
        <v>4000</v>
      </c>
      <c r="BB117" s="89" t="s">
        <v>261</v>
      </c>
    </row>
    <row r="118" spans="1:56" x14ac:dyDescent="0.3">
      <c r="A118" s="50"/>
      <c r="B118" s="50"/>
      <c r="C118" s="50"/>
      <c r="D118" s="50"/>
      <c r="E118" s="50"/>
      <c r="F118" s="50"/>
      <c r="G118" s="50" t="s">
        <v>173</v>
      </c>
      <c r="H118" s="51">
        <v>199.95</v>
      </c>
      <c r="I118" s="51">
        <v>764.87</v>
      </c>
      <c r="J118" s="51">
        <v>199.95</v>
      </c>
      <c r="K118" s="51">
        <v>1384.11</v>
      </c>
      <c r="L118" s="51">
        <v>471.42</v>
      </c>
      <c r="M118" s="51">
        <v>1236.1400000000001</v>
      </c>
      <c r="N118" s="51">
        <v>1269.6099999999999</v>
      </c>
      <c r="O118" s="51">
        <v>258.58</v>
      </c>
      <c r="P118" s="51">
        <v>2321.1999999999998</v>
      </c>
      <c r="Q118" s="51">
        <v>1090.26</v>
      </c>
      <c r="R118" s="51">
        <v>684.66</v>
      </c>
      <c r="S118" s="51">
        <v>938.47</v>
      </c>
      <c r="T118" s="51"/>
      <c r="U118" s="51">
        <f t="shared" si="38"/>
        <v>10819.22</v>
      </c>
      <c r="V118" s="67">
        <v>13000</v>
      </c>
      <c r="W118" s="67">
        <v>13000</v>
      </c>
      <c r="AB118" s="86"/>
      <c r="AC118" s="86"/>
      <c r="AD118" s="86"/>
      <c r="AE118" s="86"/>
      <c r="AF118" s="86"/>
      <c r="AG118" s="86" t="s">
        <v>173</v>
      </c>
      <c r="AH118" s="87"/>
      <c r="AI118" s="87"/>
      <c r="AJ118" s="87"/>
      <c r="AK118" s="87"/>
      <c r="AL118" s="87">
        <v>1549.97</v>
      </c>
      <c r="AM118" s="87">
        <v>1016.67</v>
      </c>
      <c r="AN118" s="87">
        <v>1015.39</v>
      </c>
      <c r="AO118" s="87">
        <v>289.32</v>
      </c>
      <c r="AP118" s="87">
        <v>1934.04</v>
      </c>
      <c r="AQ118" s="87">
        <v>903.78</v>
      </c>
      <c r="AR118" s="87">
        <v>1184.33</v>
      </c>
      <c r="AS118" s="87">
        <v>443.68</v>
      </c>
      <c r="AT118" s="87">
        <v>1731.99</v>
      </c>
      <c r="AU118" s="87">
        <v>1022.29</v>
      </c>
      <c r="AV118" s="87">
        <v>833.3</v>
      </c>
      <c r="AW118" s="87">
        <v>572.04999999999995</v>
      </c>
      <c r="AX118" s="87"/>
      <c r="AY118" s="88">
        <f t="shared" si="39"/>
        <v>12496.81</v>
      </c>
      <c r="AZ118" s="88">
        <v>12500</v>
      </c>
      <c r="BA118" s="88">
        <v>13000</v>
      </c>
      <c r="BB118" s="89"/>
    </row>
    <row r="119" spans="1:56" ht="15" thickBot="1" x14ac:dyDescent="0.35">
      <c r="A119" s="50"/>
      <c r="B119" s="50"/>
      <c r="C119" s="50"/>
      <c r="D119" s="50"/>
      <c r="E119" s="50"/>
      <c r="F119" s="50"/>
      <c r="G119" s="50" t="s">
        <v>174</v>
      </c>
      <c r="H119" s="51">
        <v>2011.87</v>
      </c>
      <c r="I119" s="51">
        <v>0</v>
      </c>
      <c r="J119" s="51">
        <v>299.66000000000003</v>
      </c>
      <c r="K119" s="51">
        <v>1323.9</v>
      </c>
      <c r="L119" s="51">
        <v>45.99</v>
      </c>
      <c r="M119" s="51">
        <v>442.46</v>
      </c>
      <c r="N119" s="51">
        <v>0</v>
      </c>
      <c r="O119" s="51">
        <v>342.55</v>
      </c>
      <c r="P119" s="51">
        <v>0</v>
      </c>
      <c r="Q119" s="51">
        <v>60.42</v>
      </c>
      <c r="R119" s="51">
        <v>0</v>
      </c>
      <c r="S119" s="51">
        <v>11382.67</v>
      </c>
      <c r="T119" s="51"/>
      <c r="U119" s="51">
        <f t="shared" si="38"/>
        <v>15909.52</v>
      </c>
      <c r="V119" s="67">
        <v>8500</v>
      </c>
      <c r="W119" s="67">
        <v>8500</v>
      </c>
      <c r="AB119" s="86"/>
      <c r="AC119" s="86"/>
      <c r="AD119" s="86"/>
      <c r="AE119" s="86"/>
      <c r="AF119" s="86"/>
      <c r="AG119" s="86" t="s">
        <v>174</v>
      </c>
      <c r="AH119" s="87"/>
      <c r="AI119" s="87"/>
      <c r="AJ119" s="87"/>
      <c r="AK119" s="87"/>
      <c r="AL119" s="87">
        <v>0</v>
      </c>
      <c r="AM119" s="87">
        <v>0</v>
      </c>
      <c r="AN119" s="87">
        <v>188.42</v>
      </c>
      <c r="AO119" s="87">
        <v>1763.16</v>
      </c>
      <c r="AP119" s="87">
        <v>0</v>
      </c>
      <c r="AQ119" s="87">
        <v>82</v>
      </c>
      <c r="AR119" s="87">
        <v>88</v>
      </c>
      <c r="AS119" s="87">
        <v>0</v>
      </c>
      <c r="AT119" s="87">
        <v>216</v>
      </c>
      <c r="AU119" s="87">
        <v>0</v>
      </c>
      <c r="AV119" s="87">
        <v>0</v>
      </c>
      <c r="AW119" s="87">
        <v>0</v>
      </c>
      <c r="AX119" s="87"/>
      <c r="AY119" s="88">
        <f t="shared" si="39"/>
        <v>2337.58</v>
      </c>
      <c r="AZ119" s="88">
        <v>8500</v>
      </c>
      <c r="BA119" s="88">
        <v>8500</v>
      </c>
      <c r="BB119" s="89"/>
    </row>
    <row r="120" spans="1:56" ht="15" thickBot="1" x14ac:dyDescent="0.35">
      <c r="A120" s="50"/>
      <c r="B120" s="50"/>
      <c r="C120" s="50"/>
      <c r="D120" s="50"/>
      <c r="E120" s="50"/>
      <c r="F120" s="50" t="s">
        <v>175</v>
      </c>
      <c r="G120" s="50"/>
      <c r="H120" s="53">
        <f t="shared" ref="H120:S120" si="40">ROUND(SUM(H108:H119),5)</f>
        <v>8094.09</v>
      </c>
      <c r="I120" s="53">
        <f t="shared" si="40"/>
        <v>2457.6799999999998</v>
      </c>
      <c r="J120" s="53">
        <f t="shared" si="40"/>
        <v>2448.1799999999998</v>
      </c>
      <c r="K120" s="53">
        <f t="shared" si="40"/>
        <v>6534.68</v>
      </c>
      <c r="L120" s="53">
        <f t="shared" si="40"/>
        <v>7524.84</v>
      </c>
      <c r="M120" s="53">
        <f t="shared" si="40"/>
        <v>14605.83</v>
      </c>
      <c r="N120" s="53">
        <f t="shared" si="40"/>
        <v>4906.1000000000004</v>
      </c>
      <c r="O120" s="53">
        <f t="shared" si="40"/>
        <v>11390.6</v>
      </c>
      <c r="P120" s="53">
        <f t="shared" si="40"/>
        <v>4747.25</v>
      </c>
      <c r="Q120" s="53">
        <f t="shared" si="40"/>
        <v>3139</v>
      </c>
      <c r="R120" s="53">
        <f t="shared" si="40"/>
        <v>4213.57</v>
      </c>
      <c r="S120" s="53">
        <f t="shared" si="40"/>
        <v>15660.18</v>
      </c>
      <c r="T120" s="53"/>
      <c r="U120" s="53">
        <f t="shared" si="38"/>
        <v>85722</v>
      </c>
      <c r="V120" s="53">
        <f>ROUND(SUM(V108:V119),5)</f>
        <v>73400</v>
      </c>
      <c r="W120" s="53">
        <f>ROUND(SUM(W108:W119),5)</f>
        <v>76000</v>
      </c>
      <c r="AB120" s="86"/>
      <c r="AC120" s="86"/>
      <c r="AD120" s="86"/>
      <c r="AE120" s="86" t="s">
        <v>176</v>
      </c>
      <c r="AF120" s="86" t="s">
        <v>175</v>
      </c>
      <c r="AG120" s="86"/>
      <c r="AH120" s="93"/>
      <c r="AI120" s="93"/>
      <c r="AJ120" s="93"/>
      <c r="AK120" s="93"/>
      <c r="AL120" s="93">
        <f t="shared" ref="AL120:AW120" si="41">ROUND(SUM(AL108:AL119),5)</f>
        <v>6115.43</v>
      </c>
      <c r="AM120" s="93">
        <f t="shared" si="41"/>
        <v>1613.99</v>
      </c>
      <c r="AN120" s="93">
        <f t="shared" si="41"/>
        <v>3615.42</v>
      </c>
      <c r="AO120" s="93">
        <f t="shared" si="41"/>
        <v>5258.84</v>
      </c>
      <c r="AP120" s="93">
        <f t="shared" si="41"/>
        <v>4034.75</v>
      </c>
      <c r="AQ120" s="93">
        <f t="shared" si="41"/>
        <v>2541.6799999999998</v>
      </c>
      <c r="AR120" s="93">
        <f t="shared" si="41"/>
        <v>5173.17</v>
      </c>
      <c r="AS120" s="93">
        <f t="shared" si="41"/>
        <v>1483.68</v>
      </c>
      <c r="AT120" s="93">
        <f t="shared" si="41"/>
        <v>5045.63</v>
      </c>
      <c r="AU120" s="93">
        <f t="shared" si="41"/>
        <v>3970.37</v>
      </c>
      <c r="AV120" s="93">
        <f t="shared" si="41"/>
        <v>5031.53</v>
      </c>
      <c r="AW120" s="93">
        <f t="shared" si="41"/>
        <v>1527.48</v>
      </c>
      <c r="AX120" s="93"/>
      <c r="AY120" s="94">
        <f t="shared" si="39"/>
        <v>45411.97</v>
      </c>
      <c r="AZ120" s="94">
        <f>ROUND(SUM(AZ108:AZ119),5)</f>
        <v>68750</v>
      </c>
      <c r="BA120" s="94">
        <f>ROUND(SUM(BA108:BA119),5)</f>
        <v>73400</v>
      </c>
      <c r="BB120" s="95"/>
    </row>
    <row r="121" spans="1:56" x14ac:dyDescent="0.3">
      <c r="A121" s="50"/>
      <c r="B121" s="50"/>
      <c r="C121" s="50"/>
      <c r="D121" s="50"/>
      <c r="E121" s="50" t="s">
        <v>176</v>
      </c>
      <c r="F121" s="50"/>
      <c r="G121" s="50"/>
      <c r="H121" s="51">
        <f t="shared" ref="H121:S121" si="42">ROUND(H70+H74+H107+H120,5)</f>
        <v>12924.06</v>
      </c>
      <c r="I121" s="51">
        <f t="shared" si="42"/>
        <v>11023.44</v>
      </c>
      <c r="J121" s="51">
        <f t="shared" si="42"/>
        <v>11741.11</v>
      </c>
      <c r="K121" s="51">
        <f t="shared" si="42"/>
        <v>25380.53</v>
      </c>
      <c r="L121" s="51">
        <f t="shared" si="42"/>
        <v>15968.64</v>
      </c>
      <c r="M121" s="51">
        <f t="shared" si="42"/>
        <v>23086.62</v>
      </c>
      <c r="N121" s="51">
        <f t="shared" si="42"/>
        <v>12862.43</v>
      </c>
      <c r="O121" s="51">
        <f t="shared" si="42"/>
        <v>16906.099999999999</v>
      </c>
      <c r="P121" s="51">
        <f t="shared" si="42"/>
        <v>11140.94</v>
      </c>
      <c r="Q121" s="51">
        <f t="shared" si="42"/>
        <v>13429.22</v>
      </c>
      <c r="R121" s="51">
        <f t="shared" si="42"/>
        <v>10871.28</v>
      </c>
      <c r="S121" s="51">
        <f t="shared" si="42"/>
        <v>24733</v>
      </c>
      <c r="T121" s="51"/>
      <c r="U121" s="51">
        <f t="shared" si="38"/>
        <v>190067.37</v>
      </c>
      <c r="V121" s="51">
        <f>ROUND(V70+V74+V107+V120,5)</f>
        <v>255150</v>
      </c>
      <c r="W121" s="51">
        <f>ROUND(W70+W74+W107+W120,5)</f>
        <v>265550</v>
      </c>
      <c r="AB121" s="86"/>
      <c r="AC121" s="86"/>
      <c r="AD121" s="86"/>
      <c r="AE121" s="86" t="s">
        <v>177</v>
      </c>
      <c r="AF121" s="86"/>
      <c r="AG121" s="86"/>
      <c r="AH121" s="87"/>
      <c r="AI121" s="87"/>
      <c r="AJ121" s="87"/>
      <c r="AK121" s="87"/>
      <c r="AL121" s="87">
        <f t="shared" ref="AL121:AW121" si="43">ROUND(AL70+AL74+AL107+AL120,5)</f>
        <v>11309.88</v>
      </c>
      <c r="AM121" s="87">
        <f t="shared" si="43"/>
        <v>16749.12</v>
      </c>
      <c r="AN121" s="87">
        <f t="shared" si="43"/>
        <v>12622.71</v>
      </c>
      <c r="AO121" s="87">
        <f t="shared" si="43"/>
        <v>11103.24</v>
      </c>
      <c r="AP121" s="87">
        <f t="shared" si="43"/>
        <v>11446.41</v>
      </c>
      <c r="AQ121" s="87">
        <f t="shared" si="43"/>
        <v>10453.459999999999</v>
      </c>
      <c r="AR121" s="87">
        <f t="shared" si="43"/>
        <v>11012.23</v>
      </c>
      <c r="AS121" s="87">
        <f t="shared" si="43"/>
        <v>6587.86</v>
      </c>
      <c r="AT121" s="87">
        <f t="shared" si="43"/>
        <v>12475.07</v>
      </c>
      <c r="AU121" s="87">
        <f t="shared" si="43"/>
        <v>10928.87</v>
      </c>
      <c r="AV121" s="87">
        <f t="shared" si="43"/>
        <v>12329.12</v>
      </c>
      <c r="AW121" s="87">
        <f t="shared" si="43"/>
        <v>11692.02</v>
      </c>
      <c r="AX121" s="87"/>
      <c r="AY121" s="88">
        <f t="shared" si="39"/>
        <v>138709.99</v>
      </c>
      <c r="AZ121" s="88">
        <f>ROUND(AZ70+AZ74+AZ107+AZ120,5)</f>
        <v>248400</v>
      </c>
      <c r="BA121" s="88">
        <f>ROUND(BA70+BA74+BA107+BA120,5)</f>
        <v>255150</v>
      </c>
      <c r="BB121" s="89"/>
    </row>
    <row r="122" spans="1:56" x14ac:dyDescent="0.3">
      <c r="A122" s="50"/>
      <c r="B122" s="50"/>
      <c r="C122" s="50"/>
      <c r="D122" s="50"/>
      <c r="E122" s="50" t="s">
        <v>177</v>
      </c>
      <c r="F122" s="50"/>
      <c r="G122" s="50"/>
      <c r="H122" s="51"/>
      <c r="I122" s="51"/>
      <c r="J122" s="51"/>
      <c r="K122" s="51"/>
      <c r="L122" s="51"/>
      <c r="M122" s="51"/>
      <c r="N122" s="51"/>
      <c r="O122" s="51"/>
      <c r="P122" s="51"/>
      <c r="Q122" s="51"/>
      <c r="R122" s="51"/>
      <c r="S122" s="51"/>
      <c r="T122" s="51"/>
      <c r="U122" s="51"/>
      <c r="V122" s="51"/>
      <c r="W122" s="51"/>
      <c r="AB122" s="86"/>
      <c r="AC122" s="86"/>
      <c r="AD122" s="86"/>
      <c r="AE122" s="86"/>
      <c r="AF122" s="86"/>
      <c r="AG122" s="86"/>
      <c r="AH122" s="87"/>
      <c r="AI122" s="87"/>
      <c r="AJ122" s="87"/>
      <c r="AK122" s="87"/>
      <c r="AL122" s="87"/>
      <c r="AM122" s="87"/>
      <c r="AN122" s="87"/>
      <c r="AO122" s="87"/>
      <c r="AP122" s="87"/>
      <c r="AQ122" s="87"/>
      <c r="AR122" s="87"/>
      <c r="AS122" s="87"/>
      <c r="AT122" s="87"/>
      <c r="AU122" s="87"/>
      <c r="AV122" s="87"/>
      <c r="AW122" s="87"/>
      <c r="AX122" s="87"/>
      <c r="AY122" s="88"/>
      <c r="AZ122" s="88"/>
      <c r="BA122" s="88"/>
      <c r="BB122" s="89"/>
    </row>
    <row r="123" spans="1:56" x14ac:dyDescent="0.3">
      <c r="A123" s="50"/>
      <c r="B123" s="50"/>
      <c r="C123" s="50"/>
      <c r="D123" s="50"/>
      <c r="E123" s="50"/>
      <c r="F123" s="50" t="s">
        <v>178</v>
      </c>
      <c r="G123" s="50"/>
      <c r="H123" s="51"/>
      <c r="I123" s="51"/>
      <c r="J123" s="51"/>
      <c r="K123" s="51"/>
      <c r="L123" s="51"/>
      <c r="M123" s="51"/>
      <c r="N123" s="51"/>
      <c r="O123" s="51"/>
      <c r="P123" s="51"/>
      <c r="Q123" s="51"/>
      <c r="R123" s="51"/>
      <c r="S123" s="51"/>
      <c r="T123" s="51"/>
      <c r="U123" s="51"/>
      <c r="V123" s="51"/>
      <c r="W123" s="51"/>
      <c r="AB123" s="86"/>
      <c r="AC123" s="86"/>
      <c r="AD123" s="86"/>
      <c r="AE123" s="86"/>
      <c r="AF123" s="86" t="s">
        <v>178</v>
      </c>
      <c r="AG123" s="86"/>
      <c r="AH123" s="87"/>
      <c r="AI123" s="87"/>
      <c r="AJ123" s="87"/>
      <c r="AK123" s="87"/>
      <c r="AL123" s="87"/>
      <c r="AM123" s="87"/>
      <c r="AN123" s="87"/>
      <c r="AO123" s="87"/>
      <c r="AP123" s="87"/>
      <c r="AQ123" s="87"/>
      <c r="AR123" s="87"/>
      <c r="AS123" s="87"/>
      <c r="AT123" s="87"/>
      <c r="AU123" s="87"/>
      <c r="AV123" s="87"/>
      <c r="AW123" s="87"/>
      <c r="AX123" s="87"/>
      <c r="AY123" s="88"/>
      <c r="AZ123" s="88"/>
      <c r="BA123" s="88"/>
      <c r="BB123" s="89"/>
    </row>
    <row r="124" spans="1:56" ht="22.2" thickBot="1" x14ac:dyDescent="0.35">
      <c r="A124" s="50"/>
      <c r="B124" s="50"/>
      <c r="C124" s="50"/>
      <c r="D124" s="50"/>
      <c r="E124" s="50"/>
      <c r="F124" s="50"/>
      <c r="G124" s="50" t="s">
        <v>179</v>
      </c>
      <c r="H124" s="52">
        <v>0</v>
      </c>
      <c r="I124" s="52">
        <v>0</v>
      </c>
      <c r="J124" s="52">
        <v>0</v>
      </c>
      <c r="K124" s="52">
        <v>0</v>
      </c>
      <c r="L124" s="52">
        <v>0</v>
      </c>
      <c r="M124" s="52">
        <v>0</v>
      </c>
      <c r="N124" s="52">
        <v>0</v>
      </c>
      <c r="O124" s="52">
        <v>0</v>
      </c>
      <c r="P124" s="52">
        <v>0</v>
      </c>
      <c r="Q124" s="52">
        <v>0</v>
      </c>
      <c r="R124" s="52">
        <v>0</v>
      </c>
      <c r="S124" s="52">
        <v>48942.34</v>
      </c>
      <c r="T124" s="52"/>
      <c r="U124" s="52">
        <f>ROUND(SUM(H124:T124),5)</f>
        <v>48942.34</v>
      </c>
      <c r="V124" s="52">
        <v>0</v>
      </c>
      <c r="W124" s="52">
        <v>0</v>
      </c>
      <c r="X124" s="68" t="s">
        <v>205</v>
      </c>
      <c r="AB124" s="86"/>
      <c r="AC124" s="86"/>
      <c r="AD124" s="86"/>
      <c r="AE124" s="86"/>
      <c r="AF124" s="86"/>
      <c r="AG124" s="86" t="s">
        <v>179</v>
      </c>
      <c r="AH124" s="90"/>
      <c r="AI124" s="90"/>
      <c r="AJ124" s="90"/>
      <c r="AK124" s="90"/>
      <c r="AL124" s="90">
        <v>0</v>
      </c>
      <c r="AM124" s="90">
        <v>0</v>
      </c>
      <c r="AN124" s="90">
        <v>0</v>
      </c>
      <c r="AO124" s="90">
        <v>0</v>
      </c>
      <c r="AP124" s="90">
        <v>0</v>
      </c>
      <c r="AQ124" s="90">
        <v>0</v>
      </c>
      <c r="AR124" s="90">
        <v>0</v>
      </c>
      <c r="AS124" s="90">
        <v>0</v>
      </c>
      <c r="AT124" s="90">
        <v>0</v>
      </c>
      <c r="AU124" s="90">
        <v>0</v>
      </c>
      <c r="AV124" s="90">
        <v>0</v>
      </c>
      <c r="AW124" s="90">
        <v>50812.91</v>
      </c>
      <c r="AX124" s="90"/>
      <c r="AY124" s="91">
        <f>ROUND(SUM(AH124:AX124),5)</f>
        <v>50812.91</v>
      </c>
      <c r="AZ124" s="91">
        <v>0</v>
      </c>
      <c r="BA124" s="91">
        <v>0</v>
      </c>
      <c r="BB124" s="92" t="s">
        <v>205</v>
      </c>
    </row>
    <row r="125" spans="1:56" x14ac:dyDescent="0.3">
      <c r="A125" s="50"/>
      <c r="B125" s="50"/>
      <c r="C125" s="50"/>
      <c r="D125" s="50"/>
      <c r="E125" s="50"/>
      <c r="F125" s="50" t="s">
        <v>180</v>
      </c>
      <c r="G125" s="50"/>
      <c r="H125" s="51">
        <f t="shared" ref="H125:P125" si="44">ROUND(SUM(H123:H124),5)</f>
        <v>0</v>
      </c>
      <c r="I125" s="51">
        <f t="shared" si="44"/>
        <v>0</v>
      </c>
      <c r="J125" s="51">
        <f t="shared" si="44"/>
        <v>0</v>
      </c>
      <c r="K125" s="51">
        <f t="shared" si="44"/>
        <v>0</v>
      </c>
      <c r="L125" s="51">
        <f t="shared" si="44"/>
        <v>0</v>
      </c>
      <c r="M125" s="51">
        <f t="shared" si="44"/>
        <v>0</v>
      </c>
      <c r="N125" s="51">
        <f t="shared" si="44"/>
        <v>0</v>
      </c>
      <c r="O125" s="51">
        <f t="shared" si="44"/>
        <v>0</v>
      </c>
      <c r="P125" s="51">
        <f t="shared" si="44"/>
        <v>0</v>
      </c>
      <c r="Q125" s="51">
        <f>ROUND(SUM(Q123:Q124),5)</f>
        <v>0</v>
      </c>
      <c r="R125" s="51">
        <f>ROUND(SUM(R123:R124),5)</f>
        <v>0</v>
      </c>
      <c r="S125" s="51">
        <f>ROUND(SUM(S123:S124),5)</f>
        <v>48942.34</v>
      </c>
      <c r="T125" s="51"/>
      <c r="U125" s="51">
        <f>ROUND(SUM(H125:T125),5)</f>
        <v>48942.34</v>
      </c>
      <c r="V125" s="51">
        <f>ROUND(SUM(V123:V124),5)</f>
        <v>0</v>
      </c>
      <c r="W125" s="51">
        <f>ROUND(SUM(W123:W124),5)</f>
        <v>0</v>
      </c>
      <c r="AB125" s="86"/>
      <c r="AC125" s="86"/>
      <c r="AD125" s="86"/>
      <c r="AE125" s="86"/>
      <c r="AF125" s="86" t="s">
        <v>180</v>
      </c>
      <c r="AG125" s="86"/>
      <c r="AH125" s="87"/>
      <c r="AI125" s="87"/>
      <c r="AJ125" s="87"/>
      <c r="AK125" s="87"/>
      <c r="AL125" s="87">
        <f t="shared" ref="AL125:AW125" si="45">ROUND(SUM(AL123:AL124),5)</f>
        <v>0</v>
      </c>
      <c r="AM125" s="87">
        <f t="shared" si="45"/>
        <v>0</v>
      </c>
      <c r="AN125" s="87">
        <f t="shared" si="45"/>
        <v>0</v>
      </c>
      <c r="AO125" s="87">
        <f t="shared" si="45"/>
        <v>0</v>
      </c>
      <c r="AP125" s="87">
        <f t="shared" si="45"/>
        <v>0</v>
      </c>
      <c r="AQ125" s="87">
        <f t="shared" si="45"/>
        <v>0</v>
      </c>
      <c r="AR125" s="87">
        <f t="shared" si="45"/>
        <v>0</v>
      </c>
      <c r="AS125" s="87">
        <f t="shared" si="45"/>
        <v>0</v>
      </c>
      <c r="AT125" s="87">
        <f t="shared" si="45"/>
        <v>0</v>
      </c>
      <c r="AU125" s="87">
        <f t="shared" si="45"/>
        <v>0</v>
      </c>
      <c r="AV125" s="87">
        <f t="shared" si="45"/>
        <v>0</v>
      </c>
      <c r="AW125" s="87">
        <f t="shared" si="45"/>
        <v>50812.91</v>
      </c>
      <c r="AX125" s="87"/>
      <c r="AY125" s="88">
        <f>ROUND(SUM(AH125:AX125),5)</f>
        <v>50812.91</v>
      </c>
      <c r="AZ125" s="88">
        <f>ROUND(SUM(AZ123:AZ124),5)</f>
        <v>0</v>
      </c>
      <c r="BA125" s="88">
        <f>ROUND(SUM(BA123:BA124),5)</f>
        <v>0</v>
      </c>
      <c r="BB125" s="89"/>
    </row>
    <row r="126" spans="1:56" ht="15" thickBot="1" x14ac:dyDescent="0.35">
      <c r="A126" s="50"/>
      <c r="B126" s="50"/>
      <c r="C126" s="50"/>
      <c r="D126" s="50"/>
      <c r="E126" s="50"/>
      <c r="F126" s="50" t="s">
        <v>181</v>
      </c>
      <c r="G126" s="50"/>
      <c r="H126" s="52">
        <v>342.65</v>
      </c>
      <c r="I126" s="52">
        <v>153.12</v>
      </c>
      <c r="J126" s="52">
        <v>0</v>
      </c>
      <c r="K126" s="52">
        <v>299.86</v>
      </c>
      <c r="L126" s="52">
        <v>306.24</v>
      </c>
      <c r="M126" s="52">
        <v>542.07000000000005</v>
      </c>
      <c r="N126" s="52">
        <v>-96.88</v>
      </c>
      <c r="O126" s="52">
        <v>0</v>
      </c>
      <c r="P126" s="52">
        <v>243.32</v>
      </c>
      <c r="Q126" s="52">
        <v>401.94</v>
      </c>
      <c r="R126" s="52">
        <v>197.78</v>
      </c>
      <c r="S126" s="52">
        <v>400</v>
      </c>
      <c r="T126" s="52"/>
      <c r="U126" s="52">
        <f>ROUND(SUM(H126:T126),5)</f>
        <v>2790.1</v>
      </c>
      <c r="V126" s="52">
        <v>4000</v>
      </c>
      <c r="W126" s="52">
        <v>4000</v>
      </c>
      <c r="AA126" s="56"/>
      <c r="AB126" s="86"/>
      <c r="AC126" s="86"/>
      <c r="AD126" s="86"/>
      <c r="AE126" s="86" t="s">
        <v>182</v>
      </c>
      <c r="AF126" s="86" t="s">
        <v>181</v>
      </c>
      <c r="AG126" s="86"/>
      <c r="AH126" s="90"/>
      <c r="AI126" s="90"/>
      <c r="AJ126" s="90"/>
      <c r="AK126" s="90"/>
      <c r="AL126" s="90">
        <v>298.70999999999998</v>
      </c>
      <c r="AM126" s="90">
        <v>172.26</v>
      </c>
      <c r="AN126" s="90">
        <v>191.39</v>
      </c>
      <c r="AO126" s="90">
        <v>0</v>
      </c>
      <c r="AP126" s="90">
        <v>0</v>
      </c>
      <c r="AQ126" s="90">
        <v>689.18</v>
      </c>
      <c r="AR126" s="90">
        <v>484.71</v>
      </c>
      <c r="AS126" s="90">
        <v>0</v>
      </c>
      <c r="AT126" s="90">
        <v>357.28</v>
      </c>
      <c r="AU126" s="90">
        <v>185.02</v>
      </c>
      <c r="AV126" s="90">
        <v>241.33</v>
      </c>
      <c r="AW126" s="90">
        <v>416.65</v>
      </c>
      <c r="AX126" s="90"/>
      <c r="AY126" s="91">
        <f>ROUND(SUM(AH126:AX126),5)</f>
        <v>3036.53</v>
      </c>
      <c r="AZ126" s="91">
        <v>4000</v>
      </c>
      <c r="BA126" s="91">
        <v>4000</v>
      </c>
      <c r="BB126" s="92"/>
    </row>
    <row r="127" spans="1:56" x14ac:dyDescent="0.3">
      <c r="A127" s="50"/>
      <c r="B127" s="50"/>
      <c r="C127" s="50"/>
      <c r="D127" s="50"/>
      <c r="E127" s="50" t="s">
        <v>182</v>
      </c>
      <c r="F127" s="50"/>
      <c r="G127" s="50"/>
      <c r="H127" s="51">
        <f t="shared" ref="H127:P127" si="46">ROUND(H122+SUM(H125:H126),5)</f>
        <v>342.65</v>
      </c>
      <c r="I127" s="51">
        <f t="shared" si="46"/>
        <v>153.12</v>
      </c>
      <c r="J127" s="51">
        <f t="shared" si="46"/>
        <v>0</v>
      </c>
      <c r="K127" s="51">
        <f t="shared" si="46"/>
        <v>299.86</v>
      </c>
      <c r="L127" s="51">
        <f t="shared" si="46"/>
        <v>306.24</v>
      </c>
      <c r="M127" s="51">
        <f t="shared" si="46"/>
        <v>542.07000000000005</v>
      </c>
      <c r="N127" s="51">
        <f t="shared" si="46"/>
        <v>-96.88</v>
      </c>
      <c r="O127" s="51">
        <f t="shared" si="46"/>
        <v>0</v>
      </c>
      <c r="P127" s="51">
        <f t="shared" si="46"/>
        <v>243.32</v>
      </c>
      <c r="Q127" s="51">
        <f>ROUND(Q122+SUM(Q125:Q126),5)</f>
        <v>401.94</v>
      </c>
      <c r="R127" s="51">
        <f>ROUND(R122+SUM(R125:R126),5)</f>
        <v>197.78</v>
      </c>
      <c r="S127" s="51">
        <f>ROUND(S122+SUM(S125:S126),5)</f>
        <v>49342.34</v>
      </c>
      <c r="T127" s="51"/>
      <c r="U127" s="51">
        <f>ROUND(SUM(H127:T127),5)</f>
        <v>51732.44</v>
      </c>
      <c r="V127" s="51">
        <f>ROUND(V122+SUM(V125:V126),5)</f>
        <v>4000</v>
      </c>
      <c r="W127" s="51">
        <f>ROUND(W122+SUM(W125:W126),5)</f>
        <v>4000</v>
      </c>
      <c r="AB127" s="86"/>
      <c r="AC127" s="86"/>
      <c r="AD127" s="86"/>
      <c r="AE127" s="86" t="s">
        <v>183</v>
      </c>
      <c r="AF127" s="86"/>
      <c r="AG127" s="86"/>
      <c r="AH127" s="87"/>
      <c r="AI127" s="87"/>
      <c r="AJ127" s="87"/>
      <c r="AK127" s="87"/>
      <c r="AL127" s="87">
        <f t="shared" ref="AL127:AW127" si="47">ROUND(AL122+SUM(AL125:AL126),5)</f>
        <v>298.70999999999998</v>
      </c>
      <c r="AM127" s="87">
        <f t="shared" si="47"/>
        <v>172.26</v>
      </c>
      <c r="AN127" s="87">
        <f t="shared" si="47"/>
        <v>191.39</v>
      </c>
      <c r="AO127" s="87">
        <f t="shared" si="47"/>
        <v>0</v>
      </c>
      <c r="AP127" s="87">
        <f t="shared" si="47"/>
        <v>0</v>
      </c>
      <c r="AQ127" s="87">
        <f t="shared" si="47"/>
        <v>689.18</v>
      </c>
      <c r="AR127" s="87">
        <f t="shared" si="47"/>
        <v>484.71</v>
      </c>
      <c r="AS127" s="87">
        <f t="shared" si="47"/>
        <v>0</v>
      </c>
      <c r="AT127" s="87">
        <f t="shared" si="47"/>
        <v>357.28</v>
      </c>
      <c r="AU127" s="87">
        <f t="shared" si="47"/>
        <v>185.02</v>
      </c>
      <c r="AV127" s="87">
        <f t="shared" si="47"/>
        <v>241.33</v>
      </c>
      <c r="AW127" s="87">
        <f t="shared" si="47"/>
        <v>51229.56</v>
      </c>
      <c r="AX127" s="87"/>
      <c r="AY127" s="88">
        <f>ROUND(SUM(AH127:AX127),5)</f>
        <v>53849.440000000002</v>
      </c>
      <c r="AZ127" s="88">
        <f>ROUND(AZ122+SUM(AZ125:AZ126),5)</f>
        <v>4000</v>
      </c>
      <c r="BA127" s="88">
        <f>ROUND(BA122+SUM(BA125:BA126),5)</f>
        <v>4000</v>
      </c>
      <c r="BB127" s="89"/>
      <c r="BC127" s="56"/>
    </row>
    <row r="128" spans="1:56" x14ac:dyDescent="0.3">
      <c r="A128" s="50"/>
      <c r="B128" s="50"/>
      <c r="C128" s="50"/>
      <c r="D128" s="50"/>
      <c r="E128" s="50" t="s">
        <v>183</v>
      </c>
      <c r="F128" s="50"/>
      <c r="G128" s="50"/>
      <c r="H128" s="51"/>
      <c r="I128" s="51"/>
      <c r="J128" s="51"/>
      <c r="K128" s="51"/>
      <c r="L128" s="51"/>
      <c r="M128" s="51"/>
      <c r="N128" s="51"/>
      <c r="O128" s="51"/>
      <c r="P128" s="51"/>
      <c r="Q128" s="51"/>
      <c r="R128" s="51"/>
      <c r="S128" s="51"/>
      <c r="T128" s="51"/>
      <c r="U128" s="51"/>
      <c r="V128" s="51"/>
      <c r="W128" s="51"/>
      <c r="AB128" s="86"/>
      <c r="AC128" s="86"/>
      <c r="AD128" s="86"/>
      <c r="AE128" s="86"/>
      <c r="AF128" s="86"/>
      <c r="AG128" s="86"/>
      <c r="AH128" s="87"/>
      <c r="AI128" s="87"/>
      <c r="AJ128" s="87"/>
      <c r="AK128" s="87"/>
      <c r="AL128" s="87"/>
      <c r="AM128" s="87"/>
      <c r="AN128" s="87"/>
      <c r="AO128" s="87"/>
      <c r="AP128" s="87"/>
      <c r="AQ128" s="87"/>
      <c r="AR128" s="87"/>
      <c r="AS128" s="87"/>
      <c r="AT128" s="87"/>
      <c r="AU128" s="87"/>
      <c r="AV128" s="87"/>
      <c r="AW128" s="87"/>
      <c r="AX128" s="87"/>
      <c r="AY128" s="88"/>
      <c r="AZ128" s="88"/>
      <c r="BA128" s="88"/>
      <c r="BB128" s="89"/>
      <c r="BD128" s="56"/>
    </row>
    <row r="129" spans="1:56" x14ac:dyDescent="0.3">
      <c r="A129" s="50"/>
      <c r="B129" s="50"/>
      <c r="C129" s="50"/>
      <c r="D129" s="50"/>
      <c r="E129" s="50"/>
      <c r="F129" s="50" t="s">
        <v>184</v>
      </c>
      <c r="G129" s="50"/>
      <c r="H129" s="51"/>
      <c r="I129" s="51"/>
      <c r="J129" s="51"/>
      <c r="K129" s="51"/>
      <c r="L129" s="51"/>
      <c r="M129" s="51"/>
      <c r="N129" s="51"/>
      <c r="O129" s="51"/>
      <c r="P129" s="51"/>
      <c r="Q129" s="51"/>
      <c r="R129" s="51"/>
      <c r="S129" s="51"/>
      <c r="T129" s="51"/>
      <c r="U129" s="51"/>
      <c r="V129" s="51"/>
      <c r="W129" s="51"/>
      <c r="AB129" s="86"/>
      <c r="AC129" s="86"/>
      <c r="AD129" s="86"/>
      <c r="AE129" s="86"/>
      <c r="AF129" s="86" t="s">
        <v>184</v>
      </c>
      <c r="AG129" s="86"/>
      <c r="AH129" s="87"/>
      <c r="AI129" s="87"/>
      <c r="AJ129" s="87"/>
      <c r="AK129" s="87"/>
      <c r="AL129" s="87"/>
      <c r="AM129" s="87"/>
      <c r="AN129" s="87"/>
      <c r="AO129" s="87"/>
      <c r="AP129" s="87"/>
      <c r="AQ129" s="87"/>
      <c r="AR129" s="87"/>
      <c r="AS129" s="87"/>
      <c r="AT129" s="87"/>
      <c r="AU129" s="87"/>
      <c r="AV129" s="87"/>
      <c r="AW129" s="87"/>
      <c r="AX129" s="87"/>
      <c r="AY129" s="88"/>
      <c r="AZ129" s="88"/>
      <c r="BA129" s="88"/>
      <c r="BB129" s="89"/>
    </row>
    <row r="130" spans="1:56" x14ac:dyDescent="0.3">
      <c r="A130" s="50"/>
      <c r="B130" s="50"/>
      <c r="C130" s="50"/>
      <c r="D130" s="50"/>
      <c r="E130" s="50"/>
      <c r="F130" s="50"/>
      <c r="G130" s="50" t="s">
        <v>201</v>
      </c>
      <c r="H130" s="51">
        <v>0</v>
      </c>
      <c r="I130" s="51">
        <v>0</v>
      </c>
      <c r="J130" s="51">
        <v>0</v>
      </c>
      <c r="K130" s="51">
        <v>0</v>
      </c>
      <c r="L130" s="51">
        <v>0</v>
      </c>
      <c r="M130" s="51">
        <v>0</v>
      </c>
      <c r="N130" s="51">
        <v>0</v>
      </c>
      <c r="O130" s="51">
        <v>0</v>
      </c>
      <c r="P130" s="51">
        <v>0</v>
      </c>
      <c r="Q130" s="51">
        <v>0</v>
      </c>
      <c r="R130" s="51">
        <v>0</v>
      </c>
      <c r="S130" s="51">
        <v>0</v>
      </c>
      <c r="T130" s="51"/>
      <c r="U130" s="51">
        <v>0</v>
      </c>
      <c r="V130" s="67">
        <v>100000</v>
      </c>
      <c r="W130" s="67">
        <v>100000</v>
      </c>
      <c r="AB130" s="86"/>
      <c r="AC130" s="86"/>
      <c r="AD130" s="86"/>
      <c r="AE130" s="86"/>
      <c r="AF130" s="86"/>
      <c r="AG130" s="86" t="s">
        <v>201</v>
      </c>
      <c r="AH130" s="87"/>
      <c r="AI130" s="87"/>
      <c r="AJ130" s="87"/>
      <c r="AK130" s="87"/>
      <c r="AL130" s="87">
        <v>0</v>
      </c>
      <c r="AM130" s="87">
        <v>0</v>
      </c>
      <c r="AN130" s="87">
        <v>0</v>
      </c>
      <c r="AO130" s="87">
        <v>0</v>
      </c>
      <c r="AP130" s="87">
        <v>0</v>
      </c>
      <c r="AQ130" s="87">
        <v>0</v>
      </c>
      <c r="AR130" s="87">
        <v>0</v>
      </c>
      <c r="AS130" s="87">
        <v>0</v>
      </c>
      <c r="AT130" s="87">
        <v>0</v>
      </c>
      <c r="AU130" s="87">
        <v>0</v>
      </c>
      <c r="AV130" s="87">
        <v>0</v>
      </c>
      <c r="AW130" s="87">
        <v>0</v>
      </c>
      <c r="AX130" s="87"/>
      <c r="AY130" s="88">
        <f>ROUND(SUM(AH130:AX130),5)</f>
        <v>0</v>
      </c>
      <c r="AZ130" s="88">
        <v>100000</v>
      </c>
      <c r="BA130" s="88">
        <v>100000</v>
      </c>
      <c r="BB130" s="89"/>
    </row>
    <row r="131" spans="1:56" x14ac:dyDescent="0.3">
      <c r="A131" s="50"/>
      <c r="B131" s="50"/>
      <c r="C131" s="50"/>
      <c r="D131" s="50"/>
      <c r="E131" s="50"/>
      <c r="F131" s="50"/>
      <c r="G131" s="50" t="s">
        <v>202</v>
      </c>
      <c r="H131" s="51">
        <v>0</v>
      </c>
      <c r="I131" s="51">
        <v>0</v>
      </c>
      <c r="J131" s="51">
        <v>0</v>
      </c>
      <c r="K131" s="51">
        <v>0</v>
      </c>
      <c r="L131" s="51">
        <v>0</v>
      </c>
      <c r="M131" s="51">
        <v>0</v>
      </c>
      <c r="N131" s="51">
        <v>0</v>
      </c>
      <c r="O131" s="51">
        <v>1900</v>
      </c>
      <c r="P131" s="51">
        <v>0</v>
      </c>
      <c r="Q131" s="51">
        <v>0</v>
      </c>
      <c r="R131" s="51">
        <v>0</v>
      </c>
      <c r="S131" s="51">
        <v>0</v>
      </c>
      <c r="T131" s="51"/>
      <c r="U131" s="51">
        <f>ROUND(SUM(H131:T131),5)</f>
        <v>1900</v>
      </c>
      <c r="V131" s="67">
        <v>6000</v>
      </c>
      <c r="W131" s="67">
        <v>6000</v>
      </c>
      <c r="AB131" s="86"/>
      <c r="AC131" s="86"/>
      <c r="AD131" s="86"/>
      <c r="AE131" s="86"/>
      <c r="AF131" s="86"/>
      <c r="AG131" s="86" t="s">
        <v>202</v>
      </c>
      <c r="AH131" s="87"/>
      <c r="AI131" s="87"/>
      <c r="AJ131" s="87"/>
      <c r="AK131" s="87"/>
      <c r="AL131" s="87">
        <v>0</v>
      </c>
      <c r="AM131" s="87">
        <v>0</v>
      </c>
      <c r="AN131" s="87">
        <v>0</v>
      </c>
      <c r="AO131" s="87">
        <v>0</v>
      </c>
      <c r="AP131" s="87">
        <v>0</v>
      </c>
      <c r="AQ131" s="87">
        <v>0</v>
      </c>
      <c r="AR131" s="87">
        <v>0</v>
      </c>
      <c r="AS131" s="87">
        <v>0</v>
      </c>
      <c r="AT131" s="87">
        <v>0</v>
      </c>
      <c r="AU131" s="87">
        <v>0</v>
      </c>
      <c r="AV131" s="87">
        <v>0</v>
      </c>
      <c r="AW131" s="87">
        <v>0</v>
      </c>
      <c r="AX131" s="87"/>
      <c r="AY131" s="88">
        <f>ROUND(SUM(AH131:AX131),5)</f>
        <v>0</v>
      </c>
      <c r="AZ131" s="88">
        <v>6000</v>
      </c>
      <c r="BA131" s="88">
        <v>6000</v>
      </c>
      <c r="BB131" s="89"/>
    </row>
    <row r="132" spans="1:56" x14ac:dyDescent="0.3">
      <c r="A132" s="50"/>
      <c r="B132" s="50"/>
      <c r="C132" s="50"/>
      <c r="D132" s="50"/>
      <c r="E132" s="50"/>
      <c r="F132" s="50"/>
      <c r="G132" s="50" t="s">
        <v>185</v>
      </c>
      <c r="H132" s="51">
        <v>0</v>
      </c>
      <c r="I132" s="51">
        <v>0</v>
      </c>
      <c r="J132" s="51">
        <v>0</v>
      </c>
      <c r="K132" s="51">
        <v>0</v>
      </c>
      <c r="L132" s="51">
        <v>0</v>
      </c>
      <c r="M132" s="51">
        <v>0</v>
      </c>
      <c r="N132" s="51">
        <v>0</v>
      </c>
      <c r="O132" s="51">
        <v>0</v>
      </c>
      <c r="P132" s="51">
        <v>0</v>
      </c>
      <c r="Q132" s="51">
        <v>0</v>
      </c>
      <c r="R132" s="51">
        <v>0</v>
      </c>
      <c r="S132" s="51">
        <v>0</v>
      </c>
      <c r="T132" s="51"/>
      <c r="U132" s="51">
        <v>0</v>
      </c>
      <c r="V132" s="67">
        <v>7500</v>
      </c>
      <c r="W132" s="67">
        <v>7500</v>
      </c>
      <c r="AB132" s="86"/>
      <c r="AC132" s="86"/>
      <c r="AD132" s="86"/>
      <c r="AE132" s="86"/>
      <c r="AF132" s="86"/>
      <c r="AG132" s="86" t="s">
        <v>185</v>
      </c>
      <c r="AH132" s="87"/>
      <c r="AI132" s="87"/>
      <c r="AJ132" s="87"/>
      <c r="AK132" s="87"/>
      <c r="AL132" s="87">
        <v>0</v>
      </c>
      <c r="AM132" s="87">
        <v>0</v>
      </c>
      <c r="AN132" s="87">
        <v>0</v>
      </c>
      <c r="AO132" s="87">
        <v>0</v>
      </c>
      <c r="AP132" s="87">
        <v>0</v>
      </c>
      <c r="AQ132" s="87">
        <v>0</v>
      </c>
      <c r="AR132" s="87">
        <v>0</v>
      </c>
      <c r="AS132" s="87">
        <v>0</v>
      </c>
      <c r="AT132" s="87">
        <v>0</v>
      </c>
      <c r="AU132" s="87">
        <v>0</v>
      </c>
      <c r="AV132" s="87">
        <v>0</v>
      </c>
      <c r="AW132" s="87">
        <v>0</v>
      </c>
      <c r="AX132" s="87"/>
      <c r="AY132" s="88">
        <f>ROUND(SUM(AH132:AX132),5)</f>
        <v>0</v>
      </c>
      <c r="AZ132" s="88">
        <v>7500</v>
      </c>
      <c r="BA132" s="88">
        <v>7500</v>
      </c>
      <c r="BB132" s="89"/>
    </row>
    <row r="133" spans="1:56" ht="15" thickBot="1" x14ac:dyDescent="0.35">
      <c r="A133" s="50"/>
      <c r="B133" s="50"/>
      <c r="C133" s="50"/>
      <c r="D133" s="50"/>
      <c r="E133" s="50"/>
      <c r="F133" s="50"/>
      <c r="G133" s="50" t="s">
        <v>239</v>
      </c>
      <c r="H133" s="51">
        <v>0</v>
      </c>
      <c r="I133" s="51">
        <v>0</v>
      </c>
      <c r="J133" s="51">
        <v>0</v>
      </c>
      <c r="K133" s="51">
        <v>0</v>
      </c>
      <c r="L133" s="51">
        <v>0</v>
      </c>
      <c r="M133" s="51">
        <v>0</v>
      </c>
      <c r="N133" s="51">
        <v>0</v>
      </c>
      <c r="O133" s="51">
        <v>0</v>
      </c>
      <c r="P133" s="51">
        <v>0</v>
      </c>
      <c r="Q133" s="51">
        <v>0</v>
      </c>
      <c r="R133" s="51">
        <v>0</v>
      </c>
      <c r="S133" s="51">
        <v>0</v>
      </c>
      <c r="T133" s="51"/>
      <c r="U133" s="51">
        <v>0</v>
      </c>
      <c r="V133" s="67">
        <v>6000</v>
      </c>
      <c r="W133" s="67">
        <v>6000</v>
      </c>
      <c r="AB133" s="86"/>
      <c r="AC133" s="86"/>
      <c r="AD133" s="86"/>
      <c r="AE133" s="86"/>
      <c r="AF133" s="86"/>
      <c r="AG133" s="86" t="s">
        <v>239</v>
      </c>
      <c r="AH133" s="87"/>
      <c r="AI133" s="87"/>
      <c r="AJ133" s="87"/>
      <c r="AK133" s="87"/>
      <c r="AL133" s="87">
        <v>0</v>
      </c>
      <c r="AM133" s="87">
        <v>0</v>
      </c>
      <c r="AN133" s="87">
        <v>0</v>
      </c>
      <c r="AO133" s="87">
        <v>0</v>
      </c>
      <c r="AP133" s="87">
        <v>0</v>
      </c>
      <c r="AQ133" s="87">
        <v>0</v>
      </c>
      <c r="AR133" s="87">
        <v>0</v>
      </c>
      <c r="AS133" s="87">
        <v>0</v>
      </c>
      <c r="AT133" s="87">
        <v>0</v>
      </c>
      <c r="AU133" s="87">
        <v>0</v>
      </c>
      <c r="AV133" s="87">
        <v>0</v>
      </c>
      <c r="AW133" s="87">
        <v>0</v>
      </c>
      <c r="AX133" s="87"/>
      <c r="AY133" s="88">
        <f>ROUND(SUM(AH133:AX133),5)</f>
        <v>0</v>
      </c>
      <c r="AZ133" s="88">
        <v>6000</v>
      </c>
      <c r="BA133" s="88">
        <v>6000</v>
      </c>
      <c r="BB133" s="89"/>
    </row>
    <row r="134" spans="1:56" ht="15" thickBot="1" x14ac:dyDescent="0.35">
      <c r="A134" s="50"/>
      <c r="B134" s="50"/>
      <c r="C134" s="50"/>
      <c r="D134" s="50"/>
      <c r="E134" s="50"/>
      <c r="F134" s="50" t="s">
        <v>186</v>
      </c>
      <c r="G134" s="50"/>
      <c r="H134" s="53">
        <f t="shared" ref="H134:S134" si="48">ROUND(SUM(H129:H131),5)</f>
        <v>0</v>
      </c>
      <c r="I134" s="53">
        <f t="shared" si="48"/>
        <v>0</v>
      </c>
      <c r="J134" s="53">
        <f t="shared" si="48"/>
        <v>0</v>
      </c>
      <c r="K134" s="53">
        <f t="shared" si="48"/>
        <v>0</v>
      </c>
      <c r="L134" s="53">
        <f t="shared" si="48"/>
        <v>0</v>
      </c>
      <c r="M134" s="53">
        <f t="shared" si="48"/>
        <v>0</v>
      </c>
      <c r="N134" s="53">
        <f t="shared" si="48"/>
        <v>0</v>
      </c>
      <c r="O134" s="53">
        <f t="shared" si="48"/>
        <v>1900</v>
      </c>
      <c r="P134" s="53">
        <f t="shared" si="48"/>
        <v>0</v>
      </c>
      <c r="Q134" s="53">
        <f t="shared" si="48"/>
        <v>0</v>
      </c>
      <c r="R134" s="53">
        <f t="shared" si="48"/>
        <v>0</v>
      </c>
      <c r="S134" s="53">
        <f t="shared" si="48"/>
        <v>0</v>
      </c>
      <c r="T134" s="53"/>
      <c r="U134" s="53">
        <f>ROUND(SUM(H134:T134),5)</f>
        <v>1900</v>
      </c>
      <c r="V134" s="53">
        <f>ROUND(SUM(V129:V133),5)</f>
        <v>119500</v>
      </c>
      <c r="W134" s="53">
        <f>ROUND(SUM(W129:W133),5)</f>
        <v>119500</v>
      </c>
      <c r="AB134" s="86"/>
      <c r="AC134" s="86"/>
      <c r="AD134" s="86"/>
      <c r="AE134" s="86"/>
      <c r="AF134" s="86" t="s">
        <v>186</v>
      </c>
      <c r="AG134" s="86"/>
      <c r="AH134" s="93"/>
      <c r="AI134" s="93"/>
      <c r="AJ134" s="93"/>
      <c r="AK134" s="93"/>
      <c r="AL134" s="93">
        <f t="shared" ref="AL134:AW134" si="49">ROUND(SUM(AL129:AL133),5)</f>
        <v>0</v>
      </c>
      <c r="AM134" s="93">
        <f t="shared" si="49"/>
        <v>0</v>
      </c>
      <c r="AN134" s="93">
        <f t="shared" si="49"/>
        <v>0</v>
      </c>
      <c r="AO134" s="93">
        <f t="shared" si="49"/>
        <v>0</v>
      </c>
      <c r="AP134" s="93">
        <f t="shared" si="49"/>
        <v>0</v>
      </c>
      <c r="AQ134" s="93">
        <f t="shared" si="49"/>
        <v>0</v>
      </c>
      <c r="AR134" s="93">
        <f t="shared" si="49"/>
        <v>0</v>
      </c>
      <c r="AS134" s="93">
        <f t="shared" si="49"/>
        <v>0</v>
      </c>
      <c r="AT134" s="93">
        <f t="shared" si="49"/>
        <v>0</v>
      </c>
      <c r="AU134" s="93">
        <f t="shared" si="49"/>
        <v>0</v>
      </c>
      <c r="AV134" s="93">
        <f t="shared" si="49"/>
        <v>0</v>
      </c>
      <c r="AW134" s="93">
        <f t="shared" si="49"/>
        <v>0</v>
      </c>
      <c r="AX134" s="93"/>
      <c r="AY134" s="94">
        <f>ROUND(SUM(AH134:AX134),5)</f>
        <v>0</v>
      </c>
      <c r="AZ134" s="94">
        <f>ROUND(SUM(AZ129:AZ133),5)</f>
        <v>119500</v>
      </c>
      <c r="BA134" s="94">
        <f>ROUND(SUM(BA129:BA133),5)</f>
        <v>119500</v>
      </c>
      <c r="BB134" s="95"/>
    </row>
    <row r="135" spans="1:56" x14ac:dyDescent="0.3">
      <c r="A135" s="50"/>
      <c r="B135" s="50"/>
      <c r="C135" s="50"/>
      <c r="D135" s="50"/>
      <c r="E135" s="50"/>
      <c r="F135" s="50" t="s">
        <v>187</v>
      </c>
      <c r="G135" s="50"/>
      <c r="H135" s="51"/>
      <c r="I135" s="51"/>
      <c r="J135" s="51"/>
      <c r="K135" s="51"/>
      <c r="L135" s="51"/>
      <c r="M135" s="51"/>
      <c r="N135" s="51"/>
      <c r="O135" s="51"/>
      <c r="P135" s="51"/>
      <c r="Q135" s="51"/>
      <c r="R135" s="51"/>
      <c r="S135" s="51"/>
      <c r="T135" s="51"/>
      <c r="U135" s="51"/>
      <c r="V135" s="51"/>
      <c r="W135" s="51"/>
      <c r="AB135" s="86"/>
      <c r="AC135" s="86"/>
      <c r="AD135" s="86"/>
      <c r="AE135" s="86"/>
      <c r="AF135" s="86" t="s">
        <v>187</v>
      </c>
      <c r="AG135" s="86"/>
      <c r="AH135" s="87"/>
      <c r="AI135" s="87"/>
      <c r="AJ135" s="87"/>
      <c r="AK135" s="87"/>
      <c r="AL135" s="87"/>
      <c r="AM135" s="87"/>
      <c r="AN135" s="87"/>
      <c r="AO135" s="87"/>
      <c r="AP135" s="87"/>
      <c r="AQ135" s="87"/>
      <c r="AR135" s="87"/>
      <c r="AS135" s="87"/>
      <c r="AT135" s="87"/>
      <c r="AU135" s="87"/>
      <c r="AV135" s="87"/>
      <c r="AW135" s="87"/>
      <c r="AX135" s="87"/>
      <c r="AY135" s="88"/>
      <c r="AZ135" s="88"/>
      <c r="BA135" s="88"/>
      <c r="BB135" s="89"/>
    </row>
    <row r="136" spans="1:56" ht="15" thickBot="1" x14ac:dyDescent="0.35">
      <c r="A136" s="50"/>
      <c r="B136" s="50"/>
      <c r="C136" s="50"/>
      <c r="D136" s="50"/>
      <c r="E136" s="50"/>
      <c r="F136" s="50"/>
      <c r="G136" s="50" t="s">
        <v>188</v>
      </c>
      <c r="H136" s="52">
        <v>6935</v>
      </c>
      <c r="I136" s="52">
        <v>1357</v>
      </c>
      <c r="J136" s="52">
        <v>0</v>
      </c>
      <c r="K136" s="52">
        <v>0</v>
      </c>
      <c r="L136" s="52">
        <v>0</v>
      </c>
      <c r="M136" s="52">
        <v>0</v>
      </c>
      <c r="N136" s="52">
        <v>0</v>
      </c>
      <c r="O136" s="52">
        <v>0</v>
      </c>
      <c r="P136" s="52">
        <v>355787.84</v>
      </c>
      <c r="Q136" s="52">
        <v>9486.81</v>
      </c>
      <c r="R136" s="52">
        <v>0</v>
      </c>
      <c r="S136" s="52">
        <v>0</v>
      </c>
      <c r="T136" s="52"/>
      <c r="U136" s="52">
        <f>ROUND(SUM(H136:T136),5)</f>
        <v>373566.65</v>
      </c>
      <c r="V136" s="52">
        <v>150000</v>
      </c>
      <c r="W136" s="114">
        <v>1600000</v>
      </c>
      <c r="X136" s="68" t="s">
        <v>298</v>
      </c>
      <c r="AB136" s="86"/>
      <c r="AC136" s="86"/>
      <c r="AD136" s="86"/>
      <c r="AE136" s="86"/>
      <c r="AF136" s="86"/>
      <c r="AG136" s="86" t="s">
        <v>188</v>
      </c>
      <c r="AH136" s="90"/>
      <c r="AI136" s="90"/>
      <c r="AJ136" s="90"/>
      <c r="AK136" s="90"/>
      <c r="AL136" s="90">
        <v>0</v>
      </c>
      <c r="AM136" s="90">
        <v>0</v>
      </c>
      <c r="AN136" s="90">
        <v>5379.38</v>
      </c>
      <c r="AO136" s="90">
        <v>0</v>
      </c>
      <c r="AP136" s="90">
        <v>0</v>
      </c>
      <c r="AQ136" s="90">
        <v>0</v>
      </c>
      <c r="AR136" s="90">
        <v>0</v>
      </c>
      <c r="AS136" s="90">
        <v>0</v>
      </c>
      <c r="AT136" s="90">
        <v>0</v>
      </c>
      <c r="AU136" s="90">
        <v>0</v>
      </c>
      <c r="AV136" s="90">
        <v>0</v>
      </c>
      <c r="AW136" s="90">
        <v>0</v>
      </c>
      <c r="AX136" s="90"/>
      <c r="AY136" s="91">
        <f>ROUND(SUM(AH136:AX136),5)</f>
        <v>5379.38</v>
      </c>
      <c r="AZ136" s="91">
        <v>150000</v>
      </c>
      <c r="BA136" s="91">
        <v>150000</v>
      </c>
      <c r="BB136" s="92" t="s">
        <v>251</v>
      </c>
    </row>
    <row r="137" spans="1:56" x14ac:dyDescent="0.3">
      <c r="A137" s="50"/>
      <c r="B137" s="50"/>
      <c r="C137" s="50"/>
      <c r="D137" s="50"/>
      <c r="E137" s="50"/>
      <c r="F137" s="50" t="s">
        <v>189</v>
      </c>
      <c r="G137" s="50"/>
      <c r="H137" s="51">
        <f t="shared" ref="H137:P137" si="50">ROUND(SUM(H135:H136),5)</f>
        <v>6935</v>
      </c>
      <c r="I137" s="51">
        <f t="shared" si="50"/>
        <v>1357</v>
      </c>
      <c r="J137" s="51">
        <f t="shared" si="50"/>
        <v>0</v>
      </c>
      <c r="K137" s="51">
        <f t="shared" si="50"/>
        <v>0</v>
      </c>
      <c r="L137" s="51">
        <f t="shared" si="50"/>
        <v>0</v>
      </c>
      <c r="M137" s="51">
        <f t="shared" si="50"/>
        <v>0</v>
      </c>
      <c r="N137" s="51">
        <f t="shared" si="50"/>
        <v>0</v>
      </c>
      <c r="O137" s="51">
        <f t="shared" si="50"/>
        <v>0</v>
      </c>
      <c r="P137" s="51">
        <f t="shared" si="50"/>
        <v>355787.84</v>
      </c>
      <c r="Q137" s="51">
        <f>ROUND(SUM(Q135:Q136),5)</f>
        <v>9486.81</v>
      </c>
      <c r="R137" s="51">
        <f>ROUND(SUM(R135:R136),5)</f>
        <v>0</v>
      </c>
      <c r="S137" s="51">
        <f>ROUND(SUM(S135:S136),5)</f>
        <v>0</v>
      </c>
      <c r="T137" s="51"/>
      <c r="U137" s="51">
        <f>ROUND(SUM(H137:T137),5)</f>
        <v>373566.65</v>
      </c>
      <c r="V137" s="51">
        <f>ROUND(SUM(V135:V136),5)</f>
        <v>150000</v>
      </c>
      <c r="W137" s="51">
        <f>ROUND(SUM(W135:W136),5)</f>
        <v>1600000</v>
      </c>
      <c r="AB137" s="86"/>
      <c r="AC137" s="86"/>
      <c r="AD137" s="86"/>
      <c r="AE137" s="86"/>
      <c r="AF137" s="86" t="s">
        <v>189</v>
      </c>
      <c r="AG137" s="86"/>
      <c r="AH137" s="87"/>
      <c r="AI137" s="87"/>
      <c r="AJ137" s="87"/>
      <c r="AK137" s="87"/>
      <c r="AL137" s="87">
        <f t="shared" ref="AL137:AW137" si="51">ROUND(SUM(AL135:AL136),5)</f>
        <v>0</v>
      </c>
      <c r="AM137" s="87">
        <f t="shared" si="51"/>
        <v>0</v>
      </c>
      <c r="AN137" s="87">
        <f t="shared" si="51"/>
        <v>5379.38</v>
      </c>
      <c r="AO137" s="87">
        <f t="shared" si="51"/>
        <v>0</v>
      </c>
      <c r="AP137" s="87">
        <f t="shared" si="51"/>
        <v>0</v>
      </c>
      <c r="AQ137" s="87">
        <f t="shared" si="51"/>
        <v>0</v>
      </c>
      <c r="AR137" s="87">
        <f t="shared" si="51"/>
        <v>0</v>
      </c>
      <c r="AS137" s="87">
        <f t="shared" si="51"/>
        <v>0</v>
      </c>
      <c r="AT137" s="87">
        <f t="shared" si="51"/>
        <v>0</v>
      </c>
      <c r="AU137" s="87">
        <f t="shared" si="51"/>
        <v>0</v>
      </c>
      <c r="AV137" s="87">
        <f t="shared" si="51"/>
        <v>0</v>
      </c>
      <c r="AW137" s="87">
        <f t="shared" si="51"/>
        <v>0</v>
      </c>
      <c r="AX137" s="87"/>
      <c r="AY137" s="88">
        <f>ROUND(SUM(AH137:AX137),5)</f>
        <v>5379.38</v>
      </c>
      <c r="AZ137" s="88">
        <f>ROUND(SUM(AZ135:AZ136),5)</f>
        <v>150000</v>
      </c>
      <c r="BA137" s="88">
        <f>ROUND(SUM(BA135:BA136),5)</f>
        <v>150000</v>
      </c>
      <c r="BB137" s="89"/>
    </row>
    <row r="138" spans="1:56" x14ac:dyDescent="0.3">
      <c r="A138" s="50"/>
      <c r="B138" s="50"/>
      <c r="C138" s="50"/>
      <c r="D138" s="50"/>
      <c r="E138" s="50"/>
      <c r="F138" s="50" t="s">
        <v>190</v>
      </c>
      <c r="G138" s="50"/>
      <c r="H138" s="51"/>
      <c r="I138" s="51"/>
      <c r="J138" s="51"/>
      <c r="K138" s="51"/>
      <c r="L138" s="51"/>
      <c r="M138" s="51"/>
      <c r="N138" s="51"/>
      <c r="O138" s="51"/>
      <c r="P138" s="51"/>
      <c r="Q138" s="51"/>
      <c r="R138" s="51"/>
      <c r="S138" s="51"/>
      <c r="T138" s="51"/>
      <c r="U138" s="51"/>
      <c r="V138" s="51"/>
      <c r="W138" s="51"/>
      <c r="AB138" s="86"/>
      <c r="AC138" s="86"/>
      <c r="AD138" s="86"/>
      <c r="AE138" s="86"/>
      <c r="AF138" s="86" t="s">
        <v>190</v>
      </c>
      <c r="AG138" s="86"/>
      <c r="AH138" s="87"/>
      <c r="AI138" s="87"/>
      <c r="AJ138" s="87"/>
      <c r="AK138" s="87"/>
      <c r="AL138" s="87"/>
      <c r="AM138" s="87"/>
      <c r="AN138" s="87"/>
      <c r="AO138" s="87"/>
      <c r="AP138" s="87"/>
      <c r="AQ138" s="87"/>
      <c r="AR138" s="87"/>
      <c r="AS138" s="87"/>
      <c r="AT138" s="87"/>
      <c r="AU138" s="87"/>
      <c r="AV138" s="87"/>
      <c r="AW138" s="87"/>
      <c r="AX138" s="87"/>
      <c r="AY138" s="88"/>
      <c r="AZ138" s="88"/>
      <c r="BA138" s="88"/>
      <c r="BB138" s="89"/>
    </row>
    <row r="139" spans="1:56" x14ac:dyDescent="0.3">
      <c r="A139" s="50"/>
      <c r="B139" s="50"/>
      <c r="C139" s="50"/>
      <c r="D139" s="50"/>
      <c r="E139" s="50"/>
      <c r="F139" s="50"/>
      <c r="G139" s="50" t="s">
        <v>191</v>
      </c>
      <c r="H139" s="51">
        <v>0</v>
      </c>
      <c r="I139" s="51">
        <v>0</v>
      </c>
      <c r="J139" s="51">
        <v>0</v>
      </c>
      <c r="K139" s="51">
        <v>0</v>
      </c>
      <c r="L139" s="51">
        <v>0</v>
      </c>
      <c r="M139" s="51">
        <v>0</v>
      </c>
      <c r="N139" s="51">
        <v>0</v>
      </c>
      <c r="O139" s="51">
        <v>0</v>
      </c>
      <c r="P139" s="51">
        <v>0</v>
      </c>
      <c r="Q139" s="51">
        <v>0</v>
      </c>
      <c r="R139" s="51">
        <v>0</v>
      </c>
      <c r="S139" s="51">
        <v>0</v>
      </c>
      <c r="T139" s="51"/>
      <c r="U139" s="51">
        <v>0</v>
      </c>
      <c r="V139" s="67">
        <v>60000</v>
      </c>
      <c r="W139" s="67">
        <v>60000</v>
      </c>
      <c r="AB139" s="86"/>
      <c r="AC139" s="86"/>
      <c r="AD139" s="86"/>
      <c r="AE139" s="86"/>
      <c r="AF139" s="86"/>
      <c r="AG139" s="86" t="s">
        <v>191</v>
      </c>
      <c r="AH139" s="87"/>
      <c r="AI139" s="87"/>
      <c r="AJ139" s="87"/>
      <c r="AK139" s="87"/>
      <c r="AL139" s="87">
        <v>0</v>
      </c>
      <c r="AM139" s="87">
        <v>0</v>
      </c>
      <c r="AN139" s="87">
        <v>0</v>
      </c>
      <c r="AO139" s="87">
        <v>0</v>
      </c>
      <c r="AP139" s="87">
        <v>0</v>
      </c>
      <c r="AQ139" s="87">
        <v>0</v>
      </c>
      <c r="AR139" s="87">
        <v>0</v>
      </c>
      <c r="AS139" s="87">
        <v>0</v>
      </c>
      <c r="AT139" s="87">
        <v>9137.67</v>
      </c>
      <c r="AU139" s="87">
        <v>0</v>
      </c>
      <c r="AV139" s="87">
        <v>0</v>
      </c>
      <c r="AW139" s="87">
        <v>0</v>
      </c>
      <c r="AX139" s="87"/>
      <c r="AY139" s="88">
        <f>ROUND(SUM(AH139:AX139),5)</f>
        <v>9137.67</v>
      </c>
      <c r="AZ139" s="88">
        <v>75000</v>
      </c>
      <c r="BA139" s="88">
        <v>60000</v>
      </c>
      <c r="BB139" s="89"/>
    </row>
    <row r="140" spans="1:56" x14ac:dyDescent="0.3">
      <c r="A140" s="50"/>
      <c r="B140" s="50"/>
      <c r="C140" s="50"/>
      <c r="D140" s="50"/>
      <c r="E140" s="50"/>
      <c r="F140" s="50"/>
      <c r="G140" s="50" t="s">
        <v>192</v>
      </c>
      <c r="H140" s="51">
        <v>0</v>
      </c>
      <c r="I140" s="51">
        <v>0</v>
      </c>
      <c r="J140" s="51">
        <v>0</v>
      </c>
      <c r="K140" s="51">
        <v>0</v>
      </c>
      <c r="L140" s="51">
        <v>0</v>
      </c>
      <c r="M140" s="51">
        <v>0</v>
      </c>
      <c r="N140" s="51">
        <v>0</v>
      </c>
      <c r="O140" s="51">
        <v>0</v>
      </c>
      <c r="P140" s="51">
        <v>0</v>
      </c>
      <c r="Q140" s="51">
        <v>0</v>
      </c>
      <c r="R140" s="51">
        <v>0</v>
      </c>
      <c r="S140" s="51">
        <v>0</v>
      </c>
      <c r="T140" s="51"/>
      <c r="U140" s="51">
        <v>0</v>
      </c>
      <c r="V140" s="67">
        <v>17000</v>
      </c>
      <c r="W140" s="67">
        <v>17000</v>
      </c>
      <c r="AB140" s="86"/>
      <c r="AC140" s="86"/>
      <c r="AD140" s="86"/>
      <c r="AE140" s="86"/>
      <c r="AF140" s="86"/>
      <c r="AG140" s="86" t="s">
        <v>192</v>
      </c>
      <c r="AH140" s="87"/>
      <c r="AI140" s="87"/>
      <c r="AJ140" s="87"/>
      <c r="AK140" s="87"/>
      <c r="AL140" s="87">
        <v>0</v>
      </c>
      <c r="AM140" s="87">
        <v>0</v>
      </c>
      <c r="AN140" s="87">
        <v>0</v>
      </c>
      <c r="AO140" s="87">
        <v>0</v>
      </c>
      <c r="AP140" s="87">
        <v>0</v>
      </c>
      <c r="AQ140" s="87">
        <v>0</v>
      </c>
      <c r="AR140" s="87">
        <v>0</v>
      </c>
      <c r="AS140" s="87">
        <v>2082.06</v>
      </c>
      <c r="AT140" s="87">
        <v>0</v>
      </c>
      <c r="AU140" s="87">
        <v>0</v>
      </c>
      <c r="AV140" s="87">
        <v>0</v>
      </c>
      <c r="AW140" s="87">
        <v>0</v>
      </c>
      <c r="AX140" s="87"/>
      <c r="AY140" s="88">
        <f>ROUND(SUM(AH140:AX140),5)</f>
        <v>2082.06</v>
      </c>
      <c r="AZ140" s="88">
        <v>17000</v>
      </c>
      <c r="BA140" s="88">
        <v>17000</v>
      </c>
      <c r="BB140" s="89"/>
    </row>
    <row r="141" spans="1:56" ht="22.2" thickBot="1" x14ac:dyDescent="0.35">
      <c r="A141" s="50"/>
      <c r="B141" s="50"/>
      <c r="C141" s="50"/>
      <c r="D141" s="50"/>
      <c r="E141" s="50"/>
      <c r="F141" s="50"/>
      <c r="G141" s="50" t="s">
        <v>193</v>
      </c>
      <c r="H141" s="52">
        <v>0</v>
      </c>
      <c r="I141" s="52">
        <v>1945</v>
      </c>
      <c r="J141" s="52">
        <v>0</v>
      </c>
      <c r="K141" s="52">
        <v>0</v>
      </c>
      <c r="L141" s="52">
        <v>0</v>
      </c>
      <c r="M141" s="52">
        <v>0</v>
      </c>
      <c r="N141" s="52">
        <v>0</v>
      </c>
      <c r="O141" s="52">
        <v>0</v>
      </c>
      <c r="P141" s="52">
        <v>0</v>
      </c>
      <c r="Q141" s="52">
        <v>0</v>
      </c>
      <c r="R141" s="52">
        <v>0</v>
      </c>
      <c r="S141" s="52">
        <v>0</v>
      </c>
      <c r="T141" s="52"/>
      <c r="U141" s="52">
        <f>ROUND(SUM(H141:T141),5)</f>
        <v>1945</v>
      </c>
      <c r="V141" s="52">
        <v>5000</v>
      </c>
      <c r="W141" s="52">
        <v>6000</v>
      </c>
      <c r="X141" s="68" t="s">
        <v>253</v>
      </c>
      <c r="AA141" s="56"/>
      <c r="AB141" s="86"/>
      <c r="AC141" s="86"/>
      <c r="AD141" s="86"/>
      <c r="AE141" s="86"/>
      <c r="AF141" s="86"/>
      <c r="AG141" s="86" t="s">
        <v>193</v>
      </c>
      <c r="AH141" s="90"/>
      <c r="AI141" s="90"/>
      <c r="AJ141" s="90"/>
      <c r="AK141" s="90"/>
      <c r="AL141" s="90">
        <v>0</v>
      </c>
      <c r="AM141" s="90">
        <v>1945</v>
      </c>
      <c r="AN141" s="90">
        <v>0</v>
      </c>
      <c r="AO141" s="90">
        <v>0</v>
      </c>
      <c r="AP141" s="90">
        <v>0</v>
      </c>
      <c r="AQ141" s="90">
        <v>0</v>
      </c>
      <c r="AR141" s="90">
        <v>0</v>
      </c>
      <c r="AS141" s="90">
        <v>0</v>
      </c>
      <c r="AT141" s="90">
        <v>0</v>
      </c>
      <c r="AU141" s="90">
        <v>0</v>
      </c>
      <c r="AV141" s="90">
        <v>0</v>
      </c>
      <c r="AW141" s="90">
        <v>0</v>
      </c>
      <c r="AX141" s="90"/>
      <c r="AY141" s="91">
        <f>ROUND(SUM(AH141:AX141),5)</f>
        <v>1945</v>
      </c>
      <c r="AZ141" s="91">
        <v>5000</v>
      </c>
      <c r="BA141" s="91">
        <v>5000</v>
      </c>
      <c r="BB141" s="92" t="s">
        <v>253</v>
      </c>
    </row>
    <row r="142" spans="1:56" ht="15" thickBot="1" x14ac:dyDescent="0.35">
      <c r="A142" s="50"/>
      <c r="B142" s="50"/>
      <c r="C142" s="50"/>
      <c r="D142" s="50"/>
      <c r="E142" s="50"/>
      <c r="F142" s="50" t="s">
        <v>194</v>
      </c>
      <c r="G142" s="50"/>
      <c r="H142" s="52">
        <f t="shared" ref="H142:S142" si="52">ROUND(SUM(H138:H141),5)</f>
        <v>0</v>
      </c>
      <c r="I142" s="52">
        <f t="shared" si="52"/>
        <v>1945</v>
      </c>
      <c r="J142" s="52">
        <f t="shared" si="52"/>
        <v>0</v>
      </c>
      <c r="K142" s="52">
        <f t="shared" si="52"/>
        <v>0</v>
      </c>
      <c r="L142" s="52">
        <f t="shared" si="52"/>
        <v>0</v>
      </c>
      <c r="M142" s="52">
        <f t="shared" si="52"/>
        <v>0</v>
      </c>
      <c r="N142" s="52">
        <f t="shared" si="52"/>
        <v>0</v>
      </c>
      <c r="O142" s="52">
        <f t="shared" si="52"/>
        <v>0</v>
      </c>
      <c r="P142" s="52">
        <f t="shared" si="52"/>
        <v>0</v>
      </c>
      <c r="Q142" s="52">
        <f t="shared" si="52"/>
        <v>0</v>
      </c>
      <c r="R142" s="52">
        <f t="shared" si="52"/>
        <v>0</v>
      </c>
      <c r="S142" s="52">
        <f t="shared" si="52"/>
        <v>0</v>
      </c>
      <c r="T142" s="52"/>
      <c r="U142" s="52">
        <f>ROUND(SUM(H142:T142),5)</f>
        <v>1945</v>
      </c>
      <c r="V142" s="52">
        <f>ROUND(SUM(V138:V141),5)</f>
        <v>82000</v>
      </c>
      <c r="W142" s="114">
        <f>ROUND(SUM(W138:W141),5)</f>
        <v>83000</v>
      </c>
      <c r="AB142" s="86"/>
      <c r="AC142" s="86"/>
      <c r="AD142" s="86"/>
      <c r="AE142" s="86" t="s">
        <v>195</v>
      </c>
      <c r="AF142" s="86" t="s">
        <v>194</v>
      </c>
      <c r="AG142" s="86"/>
      <c r="AH142" s="90"/>
      <c r="AI142" s="90"/>
      <c r="AJ142" s="90"/>
      <c r="AK142" s="90"/>
      <c r="AL142" s="90">
        <f t="shared" ref="AL142:AW142" si="53">ROUND(SUM(AL138:AL141),5)</f>
        <v>0</v>
      </c>
      <c r="AM142" s="90">
        <f t="shared" si="53"/>
        <v>1945</v>
      </c>
      <c r="AN142" s="90">
        <f t="shared" si="53"/>
        <v>0</v>
      </c>
      <c r="AO142" s="90">
        <f t="shared" si="53"/>
        <v>0</v>
      </c>
      <c r="AP142" s="90">
        <f t="shared" si="53"/>
        <v>0</v>
      </c>
      <c r="AQ142" s="90">
        <f t="shared" si="53"/>
        <v>0</v>
      </c>
      <c r="AR142" s="90">
        <f t="shared" si="53"/>
        <v>0</v>
      </c>
      <c r="AS142" s="90">
        <f t="shared" si="53"/>
        <v>2082.06</v>
      </c>
      <c r="AT142" s="90">
        <f t="shared" si="53"/>
        <v>9137.67</v>
      </c>
      <c r="AU142" s="90">
        <f t="shared" si="53"/>
        <v>0</v>
      </c>
      <c r="AV142" s="90">
        <f t="shared" si="53"/>
        <v>0</v>
      </c>
      <c r="AW142" s="90">
        <f t="shared" si="53"/>
        <v>0</v>
      </c>
      <c r="AX142" s="90"/>
      <c r="AY142" s="91">
        <f>ROUND(SUM(AH142:AX142),5)</f>
        <v>13164.73</v>
      </c>
      <c r="AZ142" s="91">
        <f>ROUND(SUM(AZ138:AZ141),5)</f>
        <v>97000</v>
      </c>
      <c r="BA142" s="91">
        <f>ROUND(SUM(BA138:BA141),5)</f>
        <v>82000</v>
      </c>
      <c r="BB142" s="92"/>
    </row>
    <row r="143" spans="1:56" ht="15" thickBot="1" x14ac:dyDescent="0.35">
      <c r="A143" s="50"/>
      <c r="B143" s="50"/>
      <c r="C143" s="50"/>
      <c r="D143" s="50"/>
      <c r="E143" s="50" t="s">
        <v>195</v>
      </c>
      <c r="F143" s="50"/>
      <c r="G143" s="50"/>
      <c r="H143" s="54">
        <f t="shared" ref="H143:S143" si="54">ROUND(H128+H134+H137+H142,5)</f>
        <v>6935</v>
      </c>
      <c r="I143" s="54">
        <f t="shared" si="54"/>
        <v>3302</v>
      </c>
      <c r="J143" s="54">
        <f t="shared" si="54"/>
        <v>0</v>
      </c>
      <c r="K143" s="54">
        <f t="shared" si="54"/>
        <v>0</v>
      </c>
      <c r="L143" s="54">
        <f t="shared" si="54"/>
        <v>0</v>
      </c>
      <c r="M143" s="54">
        <f t="shared" si="54"/>
        <v>0</v>
      </c>
      <c r="N143" s="54">
        <f t="shared" si="54"/>
        <v>0</v>
      </c>
      <c r="O143" s="54">
        <f t="shared" si="54"/>
        <v>1900</v>
      </c>
      <c r="P143" s="54">
        <f t="shared" si="54"/>
        <v>355787.84</v>
      </c>
      <c r="Q143" s="54">
        <f t="shared" si="54"/>
        <v>9486.81</v>
      </c>
      <c r="R143" s="54">
        <f t="shared" si="54"/>
        <v>0</v>
      </c>
      <c r="S143" s="54">
        <f t="shared" si="54"/>
        <v>0</v>
      </c>
      <c r="T143" s="54"/>
      <c r="U143" s="54">
        <f>ROUND(SUM(H143:T143),5)</f>
        <v>377411.65</v>
      </c>
      <c r="V143" s="54">
        <f>ROUND(V128+V134+V137+V142,5)</f>
        <v>351500</v>
      </c>
      <c r="W143" s="54">
        <f>ROUND(W128+W134+W137+W142,5)</f>
        <v>1802500</v>
      </c>
      <c r="AB143" s="86"/>
      <c r="AC143" s="86"/>
      <c r="AD143" s="86"/>
      <c r="AE143" s="86"/>
      <c r="AF143" s="86"/>
      <c r="AG143" s="86"/>
      <c r="AH143" s="87"/>
      <c r="AI143" s="87"/>
      <c r="AJ143" s="87"/>
      <c r="AK143" s="87"/>
      <c r="AL143" s="99">
        <f t="shared" ref="AL143:AW143" si="55">ROUND(AL128+AL134+AL137+AL142,5)</f>
        <v>0</v>
      </c>
      <c r="AM143" s="99">
        <f t="shared" si="55"/>
        <v>1945</v>
      </c>
      <c r="AN143" s="99">
        <f t="shared" si="55"/>
        <v>5379.38</v>
      </c>
      <c r="AO143" s="99">
        <f t="shared" si="55"/>
        <v>0</v>
      </c>
      <c r="AP143" s="99">
        <f t="shared" si="55"/>
        <v>0</v>
      </c>
      <c r="AQ143" s="99">
        <f t="shared" si="55"/>
        <v>0</v>
      </c>
      <c r="AR143" s="99">
        <f t="shared" si="55"/>
        <v>0</v>
      </c>
      <c r="AS143" s="99">
        <f t="shared" si="55"/>
        <v>2082.06</v>
      </c>
      <c r="AT143" s="99">
        <f t="shared" si="55"/>
        <v>9137.67</v>
      </c>
      <c r="AU143" s="99">
        <f t="shared" si="55"/>
        <v>0</v>
      </c>
      <c r="AV143" s="99">
        <f t="shared" si="55"/>
        <v>0</v>
      </c>
      <c r="AW143" s="99">
        <f t="shared" si="55"/>
        <v>0</v>
      </c>
      <c r="AX143" s="99"/>
      <c r="AY143" s="100">
        <f>ROUND(SUM(AH143:AX143),5)</f>
        <v>18544.11</v>
      </c>
      <c r="AZ143" s="100">
        <f>ROUND(AZ128+AZ134+AZ137+AZ142,5)</f>
        <v>366500</v>
      </c>
      <c r="BA143" s="100">
        <f>ROUND(BA128+BA134+BA137+BA142,5)</f>
        <v>351500</v>
      </c>
      <c r="BB143" s="101"/>
    </row>
    <row r="144" spans="1:56" s="56" customFormat="1" ht="22.2" thickBot="1" x14ac:dyDescent="0.35">
      <c r="A144" s="50"/>
      <c r="B144" s="50"/>
      <c r="C144" s="50"/>
      <c r="D144" s="50"/>
      <c r="E144" s="50" t="s">
        <v>203</v>
      </c>
      <c r="F144" s="50"/>
      <c r="G144" s="50"/>
      <c r="H144" s="54"/>
      <c r="I144" s="54"/>
      <c r="J144" s="54"/>
      <c r="K144" s="54"/>
      <c r="L144" s="54"/>
      <c r="M144" s="54"/>
      <c r="N144" s="54"/>
      <c r="O144" s="54"/>
      <c r="P144" s="54"/>
      <c r="Q144" s="54"/>
      <c r="R144" s="54"/>
      <c r="S144" s="54"/>
      <c r="T144" s="54"/>
      <c r="U144" s="54">
        <v>0</v>
      </c>
      <c r="V144" s="54">
        <v>226000</v>
      </c>
      <c r="W144" s="54">
        <f>W24+W20</f>
        <v>140100</v>
      </c>
      <c r="X144" s="68" t="s">
        <v>209</v>
      </c>
      <c r="Y144"/>
      <c r="Z144"/>
      <c r="AA144"/>
      <c r="AB144" s="86"/>
      <c r="AC144" s="86"/>
      <c r="AD144" s="86"/>
      <c r="AE144" s="86"/>
      <c r="AF144" s="86"/>
      <c r="AG144" s="86"/>
      <c r="AH144" s="87"/>
      <c r="AI144" s="87"/>
      <c r="AJ144" s="87"/>
      <c r="AK144" s="87"/>
      <c r="AL144" s="99"/>
      <c r="AM144" s="99"/>
      <c r="AN144" s="99"/>
      <c r="AO144" s="99"/>
      <c r="AP144" s="99"/>
      <c r="AQ144" s="99"/>
      <c r="AR144" s="99"/>
      <c r="AS144" s="99"/>
      <c r="AT144" s="99"/>
      <c r="AU144" s="99"/>
      <c r="AV144" s="99"/>
      <c r="AW144" s="99"/>
      <c r="AX144" s="99"/>
      <c r="AY144" s="86"/>
      <c r="AZ144" s="86"/>
      <c r="BA144" s="86"/>
      <c r="BB144" s="86"/>
      <c r="BC144"/>
      <c r="BD144"/>
    </row>
    <row r="145" spans="1:56" s="56" customFormat="1" ht="15" thickBot="1" x14ac:dyDescent="0.35">
      <c r="A145" s="50"/>
      <c r="B145" s="50"/>
      <c r="C145" s="50"/>
      <c r="D145" s="50"/>
      <c r="E145" s="50" t="s">
        <v>299</v>
      </c>
      <c r="F145" s="50"/>
      <c r="G145" s="50"/>
      <c r="H145" s="54"/>
      <c r="I145" s="54"/>
      <c r="J145" s="54"/>
      <c r="K145" s="54"/>
      <c r="L145" s="54"/>
      <c r="M145" s="54"/>
      <c r="N145" s="54"/>
      <c r="O145" s="54"/>
      <c r="P145" s="54"/>
      <c r="Q145" s="54"/>
      <c r="R145" s="54"/>
      <c r="S145" s="54"/>
      <c r="T145" s="54"/>
      <c r="U145" s="54">
        <v>0</v>
      </c>
      <c r="V145" s="54">
        <v>0</v>
      </c>
      <c r="W145" s="54">
        <v>-1802500</v>
      </c>
      <c r="X145" s="68" t="s">
        <v>300</v>
      </c>
      <c r="Y145"/>
      <c r="Z145"/>
      <c r="AA145"/>
      <c r="AB145" s="86"/>
      <c r="AC145" s="86"/>
      <c r="AD145" s="86"/>
      <c r="AE145" s="86"/>
      <c r="AF145" s="86"/>
      <c r="AG145" s="86"/>
      <c r="AH145" s="87"/>
      <c r="AI145" s="87"/>
      <c r="AJ145" s="87"/>
      <c r="AK145" s="87"/>
      <c r="AL145" s="99"/>
      <c r="AM145" s="99"/>
      <c r="AN145" s="99"/>
      <c r="AO145" s="99"/>
      <c r="AP145" s="99"/>
      <c r="AQ145" s="99"/>
      <c r="AR145" s="99"/>
      <c r="AS145" s="99"/>
      <c r="AT145" s="99"/>
      <c r="AU145" s="99"/>
      <c r="AV145" s="99"/>
      <c r="AW145" s="99"/>
      <c r="AX145" s="99"/>
      <c r="AY145" s="86"/>
      <c r="AZ145" s="86"/>
      <c r="BA145" s="86"/>
      <c r="BB145" s="86"/>
      <c r="BC145"/>
      <c r="BD145"/>
    </row>
    <row r="146" spans="1:56" ht="22.2" thickBot="1" x14ac:dyDescent="0.35">
      <c r="A146" s="50"/>
      <c r="B146" s="50"/>
      <c r="C146" s="50"/>
      <c r="D146" s="50"/>
      <c r="E146" s="50" t="s">
        <v>204</v>
      </c>
      <c r="F146" s="50"/>
      <c r="G146" s="50"/>
      <c r="H146" s="54"/>
      <c r="I146" s="54"/>
      <c r="J146" s="54"/>
      <c r="K146" s="54"/>
      <c r="L146" s="54"/>
      <c r="M146" s="54"/>
      <c r="N146" s="54"/>
      <c r="O146" s="54"/>
      <c r="P146" s="54"/>
      <c r="Q146" s="54"/>
      <c r="R146" s="54"/>
      <c r="S146" s="54"/>
      <c r="T146" s="54"/>
      <c r="U146" s="54">
        <v>0</v>
      </c>
      <c r="V146" s="54">
        <v>245659</v>
      </c>
      <c r="W146" s="113">
        <f>245659-1760259</f>
        <v>-1514600</v>
      </c>
      <c r="X146" s="68" t="s">
        <v>301</v>
      </c>
      <c r="Y146" s="56"/>
      <c r="Z146" s="56"/>
      <c r="AB146" s="86"/>
      <c r="AC146" s="86"/>
      <c r="AD146" s="86"/>
      <c r="AE146" s="86"/>
      <c r="AF146" s="86"/>
      <c r="AG146" s="86"/>
      <c r="AH146" s="87"/>
      <c r="AI146" s="87"/>
      <c r="AJ146" s="87"/>
      <c r="AK146" s="87"/>
      <c r="AL146" s="99"/>
      <c r="AM146" s="99"/>
      <c r="AN146" s="99"/>
      <c r="AO146" s="99"/>
      <c r="AP146" s="99"/>
      <c r="AQ146" s="99"/>
      <c r="AR146" s="99"/>
      <c r="AS146" s="99"/>
      <c r="AT146" s="99"/>
      <c r="AU146" s="99"/>
      <c r="AV146" s="99"/>
      <c r="AW146" s="99"/>
      <c r="AX146" s="99"/>
      <c r="AY146" s="86"/>
      <c r="AZ146" s="86"/>
      <c r="BA146" s="86"/>
      <c r="BB146" s="86"/>
    </row>
    <row r="147" spans="1:56" ht="15" thickBot="1" x14ac:dyDescent="0.35">
      <c r="A147" s="50"/>
      <c r="B147" s="50"/>
      <c r="C147" s="50"/>
      <c r="D147" s="50" t="s">
        <v>5</v>
      </c>
      <c r="E147" s="50"/>
      <c r="F147" s="50"/>
      <c r="G147" s="50"/>
      <c r="H147" s="53">
        <f t="shared" ref="H147:S147" si="56">ROUND(H40+H69+H121+H127+H143,5)</f>
        <v>40629.21</v>
      </c>
      <c r="I147" s="53">
        <f t="shared" si="56"/>
        <v>42211.89</v>
      </c>
      <c r="J147" s="53">
        <f t="shared" si="56"/>
        <v>35255.99</v>
      </c>
      <c r="K147" s="53">
        <f t="shared" si="56"/>
        <v>58915.23</v>
      </c>
      <c r="L147" s="53">
        <f t="shared" si="56"/>
        <v>40123.08</v>
      </c>
      <c r="M147" s="53">
        <f t="shared" si="56"/>
        <v>55599.54</v>
      </c>
      <c r="N147" s="53">
        <f t="shared" si="56"/>
        <v>57824.7</v>
      </c>
      <c r="O147" s="53">
        <f t="shared" si="56"/>
        <v>44586.239999999998</v>
      </c>
      <c r="P147" s="53">
        <f t="shared" si="56"/>
        <v>393348.6</v>
      </c>
      <c r="Q147" s="53">
        <f t="shared" si="56"/>
        <v>59693.37</v>
      </c>
      <c r="R147" s="53">
        <f t="shared" si="56"/>
        <v>35215.54</v>
      </c>
      <c r="S147" s="53">
        <f t="shared" si="56"/>
        <v>104494.25</v>
      </c>
      <c r="T147" s="53"/>
      <c r="U147" s="53">
        <f>ROUND(SUM(H147:T147),5)</f>
        <v>967897.64</v>
      </c>
      <c r="V147" s="53">
        <f>ROUND(V40+V69+V121+V127+V143,5)+V144+V146</f>
        <v>1552500</v>
      </c>
      <c r="W147" s="53">
        <f>ROUND(W40+W69+W121+W127+W143,5)+W144+W146</f>
        <v>1141100</v>
      </c>
      <c r="AB147" s="86"/>
      <c r="AC147" s="86"/>
      <c r="AD147" s="86"/>
      <c r="AE147" s="86"/>
      <c r="AF147" s="86"/>
      <c r="AG147" s="86"/>
      <c r="AH147" s="87"/>
      <c r="AI147" s="87"/>
      <c r="AJ147" s="87"/>
      <c r="AK147" s="87"/>
      <c r="AL147" s="99"/>
      <c r="AM147" s="99"/>
      <c r="AN147" s="99"/>
      <c r="AO147" s="99"/>
      <c r="AP147" s="99"/>
      <c r="AQ147" s="99"/>
      <c r="AR147" s="99"/>
      <c r="AS147" s="99"/>
      <c r="AT147" s="99"/>
      <c r="AU147" s="99"/>
      <c r="AV147" s="99"/>
      <c r="AW147" s="99"/>
      <c r="AX147" s="99"/>
      <c r="AY147" s="86"/>
      <c r="AZ147" s="86"/>
      <c r="BA147" s="86"/>
      <c r="BB147" s="86"/>
    </row>
    <row r="148" spans="1:56" x14ac:dyDescent="0.3">
      <c r="A148" s="50"/>
      <c r="B148" s="50" t="s">
        <v>6</v>
      </c>
      <c r="C148" s="50"/>
      <c r="D148" s="50"/>
      <c r="E148" s="50"/>
      <c r="F148" s="50"/>
      <c r="G148" s="50"/>
      <c r="H148" s="51">
        <f t="shared" ref="H148:S148" si="57">ROUND(H2+H39-H147,5)</f>
        <v>20645.93</v>
      </c>
      <c r="I148" s="51">
        <f t="shared" si="57"/>
        <v>-21134.85</v>
      </c>
      <c r="J148" s="51">
        <f t="shared" si="57"/>
        <v>51003.360000000001</v>
      </c>
      <c r="K148" s="51">
        <f t="shared" si="57"/>
        <v>26647.89</v>
      </c>
      <c r="L148" s="51">
        <f t="shared" si="57"/>
        <v>-13691.18</v>
      </c>
      <c r="M148" s="51">
        <f t="shared" si="57"/>
        <v>242069.91</v>
      </c>
      <c r="N148" s="51">
        <f t="shared" si="57"/>
        <v>160957.59</v>
      </c>
      <c r="O148" s="51">
        <f t="shared" si="57"/>
        <v>15114.64</v>
      </c>
      <c r="P148" s="51">
        <f t="shared" si="57"/>
        <v>-318923.76</v>
      </c>
      <c r="Q148" s="51">
        <f t="shared" si="57"/>
        <v>44822.84</v>
      </c>
      <c r="R148" s="51">
        <f t="shared" si="57"/>
        <v>201400.33</v>
      </c>
      <c r="S148" s="51">
        <f t="shared" si="57"/>
        <v>-2087.39</v>
      </c>
      <c r="T148" s="51"/>
      <c r="U148" s="51">
        <f>ROUND(SUM(H148:T148),5)</f>
        <v>406825.31</v>
      </c>
      <c r="V148" s="51">
        <f>ROUND(V2+V39-V147,5)</f>
        <v>-351500</v>
      </c>
      <c r="W148" s="51">
        <f>ROUND(W2+W39-W147,5)</f>
        <v>0</v>
      </c>
      <c r="AB148" s="86"/>
      <c r="AC148" s="86"/>
      <c r="AD148" s="86"/>
      <c r="AE148" s="86" t="s">
        <v>203</v>
      </c>
      <c r="AF148" s="86"/>
      <c r="AG148" s="86"/>
      <c r="AH148" s="87"/>
      <c r="AI148" s="87"/>
      <c r="AJ148" s="87"/>
      <c r="AK148" s="87"/>
      <c r="AL148" s="99"/>
      <c r="AM148" s="99"/>
      <c r="AN148" s="99"/>
      <c r="AO148" s="99"/>
      <c r="AP148" s="99"/>
      <c r="AQ148" s="99"/>
      <c r="AR148" s="99"/>
      <c r="AS148" s="99"/>
      <c r="AT148" s="99"/>
      <c r="AU148" s="99"/>
      <c r="AV148" s="99"/>
      <c r="AW148" s="99"/>
      <c r="AX148" s="99"/>
      <c r="AY148" s="86"/>
      <c r="AZ148" s="86"/>
      <c r="BA148" s="86"/>
      <c r="BB148" s="86"/>
    </row>
    <row r="149" spans="1:56" ht="17.399999999999999" customHeight="1" thickBot="1" x14ac:dyDescent="0.35">
      <c r="A149" s="50"/>
      <c r="B149" s="50" t="s">
        <v>7</v>
      </c>
      <c r="C149" s="50"/>
      <c r="D149" s="50"/>
      <c r="E149" s="50"/>
      <c r="F149" s="50"/>
      <c r="G149" s="50"/>
      <c r="H149" s="51"/>
      <c r="I149" s="51"/>
      <c r="J149" s="51"/>
      <c r="K149" s="51"/>
      <c r="L149" s="51"/>
      <c r="M149" s="51"/>
      <c r="N149" s="51"/>
      <c r="O149" s="51"/>
      <c r="P149" s="51"/>
      <c r="Q149" s="51"/>
      <c r="R149" s="51"/>
      <c r="S149" s="51"/>
      <c r="T149" s="51"/>
      <c r="U149" s="51"/>
      <c r="V149" s="51"/>
      <c r="W149" s="51"/>
      <c r="AB149" s="86"/>
      <c r="AC149" s="86"/>
      <c r="AD149" s="86"/>
      <c r="AE149" s="86" t="s">
        <v>204</v>
      </c>
      <c r="AF149" s="86"/>
      <c r="AG149" s="86"/>
      <c r="AH149" s="87"/>
      <c r="AI149" s="87"/>
      <c r="AJ149" s="87"/>
      <c r="AK149" s="87"/>
      <c r="AL149" s="102">
        <v>0</v>
      </c>
      <c r="AM149" s="102">
        <v>0</v>
      </c>
      <c r="AN149" s="102">
        <v>0</v>
      </c>
      <c r="AO149" s="102">
        <v>0</v>
      </c>
      <c r="AP149" s="102">
        <v>0</v>
      </c>
      <c r="AQ149" s="102">
        <v>0</v>
      </c>
      <c r="AR149" s="102">
        <v>0</v>
      </c>
      <c r="AS149" s="102">
        <v>0</v>
      </c>
      <c r="AT149" s="102">
        <v>0</v>
      </c>
      <c r="AU149" s="102">
        <v>0</v>
      </c>
      <c r="AV149" s="102">
        <v>0</v>
      </c>
      <c r="AW149" s="102">
        <v>0</v>
      </c>
      <c r="AX149" s="102"/>
      <c r="AY149" s="103">
        <v>0</v>
      </c>
      <c r="AZ149" s="103">
        <v>177000</v>
      </c>
      <c r="BA149" s="103">
        <f>BA17+BA18+BA24+BA20</f>
        <v>226000</v>
      </c>
      <c r="BB149" s="104" t="s">
        <v>209</v>
      </c>
    </row>
    <row r="150" spans="1:56" ht="25.8" customHeight="1" thickBot="1" x14ac:dyDescent="0.35">
      <c r="A150" s="50"/>
      <c r="B150" s="50"/>
      <c r="C150" s="50" t="s">
        <v>8</v>
      </c>
      <c r="D150" s="50"/>
      <c r="E150" s="50"/>
      <c r="F150" s="50"/>
      <c r="G150" s="50"/>
      <c r="H150" s="51"/>
      <c r="I150" s="51"/>
      <c r="J150" s="51"/>
      <c r="K150" s="51"/>
      <c r="L150" s="51"/>
      <c r="M150" s="51"/>
      <c r="N150" s="51"/>
      <c r="O150" s="51"/>
      <c r="P150" s="51"/>
      <c r="Q150" s="51"/>
      <c r="R150" s="51"/>
      <c r="S150" s="51"/>
      <c r="T150" s="51"/>
      <c r="U150" s="51"/>
      <c r="V150" s="51"/>
      <c r="W150" s="51"/>
      <c r="AB150" s="86"/>
      <c r="AC150" s="86"/>
      <c r="AD150" s="86" t="s">
        <v>5</v>
      </c>
      <c r="AE150" s="86"/>
      <c r="AF150" s="86"/>
      <c r="AG150" s="86"/>
      <c r="AH150" s="87"/>
      <c r="AI150" s="87"/>
      <c r="AJ150" s="87"/>
      <c r="AK150" s="87"/>
      <c r="AL150" s="87">
        <v>0</v>
      </c>
      <c r="AM150" s="87">
        <v>0</v>
      </c>
      <c r="AN150" s="87">
        <v>0</v>
      </c>
      <c r="AO150" s="87">
        <v>0</v>
      </c>
      <c r="AP150" s="87">
        <v>0</v>
      </c>
      <c r="AQ150" s="87">
        <v>0</v>
      </c>
      <c r="AR150" s="87">
        <v>0</v>
      </c>
      <c r="AS150" s="87">
        <v>0</v>
      </c>
      <c r="AT150" s="87">
        <v>0</v>
      </c>
      <c r="AU150" s="87">
        <v>0</v>
      </c>
      <c r="AV150" s="87">
        <v>0</v>
      </c>
      <c r="AW150" s="87">
        <v>0</v>
      </c>
      <c r="AX150" s="87"/>
      <c r="AY150" s="88">
        <v>0</v>
      </c>
      <c r="AZ150" s="88">
        <v>236020</v>
      </c>
      <c r="BA150" s="88">
        <v>245659</v>
      </c>
      <c r="BB150" s="89" t="s">
        <v>259</v>
      </c>
    </row>
    <row r="151" spans="1:56" ht="14.4" customHeight="1" thickBot="1" x14ac:dyDescent="0.35">
      <c r="A151" s="50"/>
      <c r="B151" s="50"/>
      <c r="C151" s="50"/>
      <c r="D151" s="50" t="s">
        <v>196</v>
      </c>
      <c r="E151" s="50"/>
      <c r="F151" s="50"/>
      <c r="G151" s="50"/>
      <c r="H151" s="51">
        <v>488.69</v>
      </c>
      <c r="I151" s="51">
        <v>0</v>
      </c>
      <c r="J151" s="51">
        <v>0</v>
      </c>
      <c r="K151" s="51">
        <v>0</v>
      </c>
      <c r="L151" s="51">
        <v>0</v>
      </c>
      <c r="M151" s="51">
        <v>0</v>
      </c>
      <c r="N151" s="51">
        <v>1206.2</v>
      </c>
      <c r="O151" s="51">
        <v>0</v>
      </c>
      <c r="P151" s="51">
        <v>0</v>
      </c>
      <c r="Q151" s="51">
        <v>0</v>
      </c>
      <c r="R151" s="51">
        <v>0</v>
      </c>
      <c r="S151" s="51">
        <v>0</v>
      </c>
      <c r="T151" s="51"/>
      <c r="U151" s="51">
        <f t="shared" ref="U151:U156" si="58">ROUND(SUM(H151:T151),5)</f>
        <v>1694.89</v>
      </c>
      <c r="V151" s="51">
        <v>0</v>
      </c>
      <c r="W151" s="51">
        <v>0</v>
      </c>
      <c r="X151" s="68" t="s">
        <v>206</v>
      </c>
      <c r="AB151" s="86" t="s">
        <v>6</v>
      </c>
      <c r="AC151" s="86"/>
      <c r="AD151" s="86"/>
      <c r="AE151" s="86"/>
      <c r="AF151" s="86"/>
      <c r="AG151" s="86"/>
      <c r="AH151" s="93"/>
      <c r="AI151" s="93"/>
      <c r="AJ151" s="93"/>
      <c r="AK151" s="93"/>
      <c r="AL151" s="93">
        <f t="shared" ref="AL151:BA151" si="59">ROUND(AL40+AL69+AL121+AL127+AL143,5)+AL149+AL150</f>
        <v>27999</v>
      </c>
      <c r="AM151" s="93">
        <f t="shared" si="59"/>
        <v>43641.53</v>
      </c>
      <c r="AN151" s="93">
        <f t="shared" si="59"/>
        <v>40907.26</v>
      </c>
      <c r="AO151" s="93">
        <f t="shared" si="59"/>
        <v>48192.54</v>
      </c>
      <c r="AP151" s="93">
        <f t="shared" si="59"/>
        <v>32728.26</v>
      </c>
      <c r="AQ151" s="93">
        <f t="shared" si="59"/>
        <v>36866.379999999997</v>
      </c>
      <c r="AR151" s="93">
        <f t="shared" si="59"/>
        <v>44453.31</v>
      </c>
      <c r="AS151" s="93">
        <f t="shared" si="59"/>
        <v>32567.72</v>
      </c>
      <c r="AT151" s="93">
        <f t="shared" si="59"/>
        <v>48013.1</v>
      </c>
      <c r="AU151" s="93">
        <f t="shared" si="59"/>
        <v>52967.27</v>
      </c>
      <c r="AV151" s="93">
        <f t="shared" si="59"/>
        <v>50116.65</v>
      </c>
      <c r="AW151" s="93">
        <f t="shared" si="59"/>
        <v>98258.22</v>
      </c>
      <c r="AX151" s="93">
        <f t="shared" si="59"/>
        <v>0</v>
      </c>
      <c r="AY151" s="94">
        <f t="shared" si="59"/>
        <v>556711.24</v>
      </c>
      <c r="AZ151" s="94">
        <f t="shared" si="59"/>
        <v>1445300</v>
      </c>
      <c r="BA151" s="94">
        <f t="shared" si="59"/>
        <v>1552500</v>
      </c>
      <c r="BB151" s="95"/>
    </row>
    <row r="152" spans="1:56" ht="15.6" customHeight="1" x14ac:dyDescent="0.3">
      <c r="A152" s="50"/>
      <c r="B152" s="50"/>
      <c r="C152" s="50"/>
      <c r="D152" s="50" t="s">
        <v>197</v>
      </c>
      <c r="E152" s="50"/>
      <c r="F152" s="50"/>
      <c r="G152" s="50"/>
      <c r="H152" s="51">
        <v>3838.17</v>
      </c>
      <c r="I152" s="51">
        <v>-7360.71</v>
      </c>
      <c r="J152" s="51">
        <v>-12262.78</v>
      </c>
      <c r="K152" s="51">
        <v>-15312.76</v>
      </c>
      <c r="L152" s="51">
        <v>-7089.43</v>
      </c>
      <c r="M152" s="51">
        <v>-12210.57</v>
      </c>
      <c r="N152" s="51">
        <v>-30666.5</v>
      </c>
      <c r="O152" s="51">
        <v>-22606.21</v>
      </c>
      <c r="P152" s="51">
        <v>-54477.599999999999</v>
      </c>
      <c r="Q152" s="51">
        <v>-43909.78</v>
      </c>
      <c r="R152" s="51">
        <v>3613.14</v>
      </c>
      <c r="S152" s="51">
        <v>-10762.94</v>
      </c>
      <c r="T152" s="51"/>
      <c r="U152" s="51">
        <f t="shared" si="58"/>
        <v>-209207.97</v>
      </c>
      <c r="V152" s="51">
        <v>0</v>
      </c>
      <c r="W152" s="51">
        <v>0</v>
      </c>
      <c r="X152" s="68" t="s">
        <v>206</v>
      </c>
      <c r="AB152" s="86" t="s">
        <v>7</v>
      </c>
      <c r="AC152" s="86"/>
      <c r="AD152" s="86"/>
      <c r="AE152" s="86"/>
      <c r="AF152" s="86"/>
      <c r="AG152" s="86"/>
      <c r="AH152" s="87"/>
      <c r="AI152" s="87"/>
      <c r="AJ152" s="87"/>
      <c r="AK152" s="87"/>
      <c r="AL152" s="87">
        <f t="shared" ref="AL152:AW152" si="60">ROUND(AL2+AL39-AL151,5)</f>
        <v>-8841.0400000000009</v>
      </c>
      <c r="AM152" s="87">
        <f t="shared" si="60"/>
        <v>-10879.27</v>
      </c>
      <c r="AN152" s="87">
        <f t="shared" si="60"/>
        <v>-2325.44</v>
      </c>
      <c r="AO152" s="87">
        <f t="shared" si="60"/>
        <v>43497.59</v>
      </c>
      <c r="AP152" s="87">
        <f t="shared" si="60"/>
        <v>-13444.18</v>
      </c>
      <c r="AQ152" s="87">
        <f t="shared" si="60"/>
        <v>210923.04</v>
      </c>
      <c r="AR152" s="87">
        <f t="shared" si="60"/>
        <v>211891.47</v>
      </c>
      <c r="AS152" s="87">
        <f t="shared" si="60"/>
        <v>26678.65</v>
      </c>
      <c r="AT152" s="87">
        <f t="shared" si="60"/>
        <v>17447.71</v>
      </c>
      <c r="AU152" s="87">
        <f t="shared" si="60"/>
        <v>44297.38</v>
      </c>
      <c r="AV152" s="87">
        <f t="shared" si="60"/>
        <v>172821.62</v>
      </c>
      <c r="AW152" s="87">
        <f t="shared" si="60"/>
        <v>16430.13</v>
      </c>
      <c r="AX152" s="87"/>
      <c r="AY152" s="88">
        <f>ROUND(SUM(AH152:AX152),5)</f>
        <v>708497.66</v>
      </c>
      <c r="AZ152" s="88">
        <f>ROUND(AZ2+AZ39-AZ151,5)</f>
        <v>-366500</v>
      </c>
      <c r="BA152" s="88">
        <f>ROUND(BA2+BA39-BA151,5)</f>
        <v>-351500</v>
      </c>
      <c r="BB152" s="89"/>
    </row>
    <row r="153" spans="1:56" ht="13.2" customHeight="1" thickBot="1" x14ac:dyDescent="0.35">
      <c r="A153" s="50"/>
      <c r="B153" s="50"/>
      <c r="C153" s="50"/>
      <c r="D153" s="50" t="s">
        <v>280</v>
      </c>
      <c r="E153" s="50"/>
      <c r="F153" s="50"/>
      <c r="G153" s="50"/>
      <c r="H153" s="51">
        <v>0</v>
      </c>
      <c r="I153" s="51">
        <v>0</v>
      </c>
      <c r="J153" s="51">
        <v>0</v>
      </c>
      <c r="K153" s="51">
        <v>0</v>
      </c>
      <c r="L153" s="51">
        <v>0</v>
      </c>
      <c r="M153" s="51">
        <v>0</v>
      </c>
      <c r="N153" s="51">
        <v>0</v>
      </c>
      <c r="O153" s="51">
        <v>0</v>
      </c>
      <c r="P153" s="51">
        <v>0</v>
      </c>
      <c r="Q153" s="51">
        <v>0</v>
      </c>
      <c r="R153" s="51">
        <v>5230</v>
      </c>
      <c r="S153" s="51">
        <v>0</v>
      </c>
      <c r="T153" s="51"/>
      <c r="U153" s="51">
        <f t="shared" si="58"/>
        <v>5230</v>
      </c>
      <c r="V153" s="51">
        <v>0</v>
      </c>
      <c r="W153" s="51">
        <v>0</v>
      </c>
      <c r="X153" s="68" t="s">
        <v>206</v>
      </c>
      <c r="AB153" s="86"/>
      <c r="AC153" s="86" t="s">
        <v>8</v>
      </c>
      <c r="AD153" s="86"/>
      <c r="AE153" s="86"/>
      <c r="AF153" s="86"/>
      <c r="AG153" s="86"/>
      <c r="AH153" s="87"/>
      <c r="AI153" s="87"/>
      <c r="AJ153" s="87"/>
      <c r="AK153" s="87"/>
      <c r="AL153" s="87"/>
      <c r="AM153" s="87"/>
      <c r="AN153" s="87"/>
      <c r="AO153" s="87"/>
      <c r="AP153" s="87"/>
      <c r="AQ153" s="87"/>
      <c r="AR153" s="87"/>
      <c r="AS153" s="87"/>
      <c r="AT153" s="87"/>
      <c r="AU153" s="87"/>
      <c r="AV153" s="87"/>
      <c r="AW153" s="87"/>
      <c r="AX153" s="87"/>
      <c r="AY153" s="88"/>
      <c r="AZ153" s="88"/>
      <c r="BA153" s="88"/>
      <c r="BB153" s="89"/>
    </row>
    <row r="154" spans="1:56" ht="15" thickBot="1" x14ac:dyDescent="0.35">
      <c r="A154" s="50"/>
      <c r="B154" s="50"/>
      <c r="C154" s="50" t="s">
        <v>9</v>
      </c>
      <c r="D154" s="50"/>
      <c r="E154" s="50"/>
      <c r="F154" s="50"/>
      <c r="G154" s="50"/>
      <c r="H154" s="54">
        <f t="shared" ref="H154:P154" si="61">ROUND(SUM(H150:H153),5)</f>
        <v>4326.8599999999997</v>
      </c>
      <c r="I154" s="54">
        <f t="shared" si="61"/>
        <v>-7360.71</v>
      </c>
      <c r="J154" s="54">
        <f t="shared" si="61"/>
        <v>-12262.78</v>
      </c>
      <c r="K154" s="54">
        <f t="shared" si="61"/>
        <v>-15312.76</v>
      </c>
      <c r="L154" s="54">
        <f t="shared" si="61"/>
        <v>-7089.43</v>
      </c>
      <c r="M154" s="54">
        <f t="shared" si="61"/>
        <v>-12210.57</v>
      </c>
      <c r="N154" s="54">
        <f t="shared" si="61"/>
        <v>-29460.3</v>
      </c>
      <c r="O154" s="54">
        <f t="shared" si="61"/>
        <v>-22606.21</v>
      </c>
      <c r="P154" s="54">
        <f t="shared" si="61"/>
        <v>-54477.599999999999</v>
      </c>
      <c r="Q154" s="54">
        <f>ROUND(SUM(Q150:Q153),5)</f>
        <v>-43909.78</v>
      </c>
      <c r="R154" s="54">
        <f>ROUND(SUM(R150:R153),5)</f>
        <v>8843.14</v>
      </c>
      <c r="S154" s="54">
        <f>ROUND(SUM(S150:S153),5)</f>
        <v>-10762.94</v>
      </c>
      <c r="T154" s="54"/>
      <c r="U154" s="54">
        <f t="shared" si="58"/>
        <v>-202283.08</v>
      </c>
      <c r="V154" s="54">
        <f>ROUND(SUM(V150:V153),5)</f>
        <v>0</v>
      </c>
      <c r="W154" s="54">
        <f>ROUND(SUM(W150:W153),5)</f>
        <v>0</v>
      </c>
      <c r="AB154" s="86"/>
      <c r="AC154" s="86"/>
      <c r="AD154" s="86" t="s">
        <v>196</v>
      </c>
      <c r="AE154" s="86"/>
      <c r="AF154" s="86"/>
      <c r="AG154" s="86"/>
      <c r="AH154" s="87"/>
      <c r="AI154" s="87"/>
      <c r="AJ154" s="87"/>
      <c r="AK154" s="87"/>
      <c r="AL154" s="87"/>
      <c r="AM154" s="87"/>
      <c r="AN154" s="87"/>
      <c r="AO154" s="87"/>
      <c r="AP154" s="87"/>
      <c r="AQ154" s="87"/>
      <c r="AR154" s="87"/>
      <c r="AS154" s="87"/>
      <c r="AT154" s="87"/>
      <c r="AU154" s="87"/>
      <c r="AV154" s="87"/>
      <c r="AW154" s="87"/>
      <c r="AX154" s="87"/>
      <c r="AY154" s="88"/>
      <c r="AZ154" s="88"/>
      <c r="BA154" s="88"/>
      <c r="BB154" s="89"/>
    </row>
    <row r="155" spans="1:56" ht="22.2" thickBot="1" x14ac:dyDescent="0.35">
      <c r="A155" s="50"/>
      <c r="B155" s="50" t="s">
        <v>10</v>
      </c>
      <c r="C155" s="50"/>
      <c r="D155" s="50"/>
      <c r="E155" s="50"/>
      <c r="F155" s="50"/>
      <c r="G155" s="50"/>
      <c r="H155" s="54">
        <f t="shared" ref="H155:P155" si="62">ROUND(H149+H154,5)</f>
        <v>4326.8599999999997</v>
      </c>
      <c r="I155" s="54">
        <f t="shared" si="62"/>
        <v>-7360.71</v>
      </c>
      <c r="J155" s="54">
        <f t="shared" si="62"/>
        <v>-12262.78</v>
      </c>
      <c r="K155" s="54">
        <f t="shared" si="62"/>
        <v>-15312.76</v>
      </c>
      <c r="L155" s="54">
        <f t="shared" si="62"/>
        <v>-7089.43</v>
      </c>
      <c r="M155" s="54">
        <f t="shared" si="62"/>
        <v>-12210.57</v>
      </c>
      <c r="N155" s="54">
        <f t="shared" si="62"/>
        <v>-29460.3</v>
      </c>
      <c r="O155" s="54">
        <f t="shared" si="62"/>
        <v>-22606.21</v>
      </c>
      <c r="P155" s="54">
        <f t="shared" si="62"/>
        <v>-54477.599999999999</v>
      </c>
      <c r="Q155" s="54">
        <f>ROUND(Q149+Q154,5)</f>
        <v>-43909.78</v>
      </c>
      <c r="R155" s="54">
        <f>ROUND(R149+R154,5)</f>
        <v>8843.14</v>
      </c>
      <c r="S155" s="54">
        <f>ROUND(S149+S154,5)</f>
        <v>-10762.94</v>
      </c>
      <c r="T155" s="54"/>
      <c r="U155" s="54">
        <f t="shared" si="58"/>
        <v>-202283.08</v>
      </c>
      <c r="V155" s="54">
        <f>ROUND(V149+V154,5)</f>
        <v>0</v>
      </c>
      <c r="W155" s="54">
        <f>ROUND(W149+W154,5)</f>
        <v>0</v>
      </c>
      <c r="AB155" s="86"/>
      <c r="AC155" s="86"/>
      <c r="AD155" s="86" t="s">
        <v>197</v>
      </c>
      <c r="AE155" s="86"/>
      <c r="AF155" s="86"/>
      <c r="AG155" s="86"/>
      <c r="AH155" s="87"/>
      <c r="AI155" s="87"/>
      <c r="AJ155" s="87"/>
      <c r="AK155" s="87"/>
      <c r="AL155" s="87">
        <v>0</v>
      </c>
      <c r="AM155" s="87">
        <v>0</v>
      </c>
      <c r="AN155" s="87">
        <v>0</v>
      </c>
      <c r="AO155" s="87">
        <v>0</v>
      </c>
      <c r="AP155" s="87">
        <v>0</v>
      </c>
      <c r="AQ155" s="87">
        <v>0</v>
      </c>
      <c r="AR155" s="87">
        <v>2768.64</v>
      </c>
      <c r="AS155" s="87">
        <v>0</v>
      </c>
      <c r="AT155" s="87">
        <v>0</v>
      </c>
      <c r="AU155" s="87">
        <v>0</v>
      </c>
      <c r="AV155" s="87">
        <v>0</v>
      </c>
      <c r="AW155" s="87">
        <v>0</v>
      </c>
      <c r="AX155" s="87"/>
      <c r="AY155" s="88">
        <f>ROUND(SUM(AH155:AX155),5)</f>
        <v>2768.64</v>
      </c>
      <c r="AZ155" s="88">
        <v>0</v>
      </c>
      <c r="BA155" s="88">
        <v>0</v>
      </c>
      <c r="BB155" s="89" t="s">
        <v>206</v>
      </c>
    </row>
    <row r="156" spans="1:56" ht="22.2" thickBot="1" x14ac:dyDescent="0.35">
      <c r="A156" s="50" t="s">
        <v>11</v>
      </c>
      <c r="B156" s="50"/>
      <c r="C156" s="50"/>
      <c r="D156" s="50"/>
      <c r="E156" s="50"/>
      <c r="F156" s="50"/>
      <c r="G156" s="50"/>
      <c r="H156" s="55">
        <f t="shared" ref="H156:P156" si="63">ROUND(H148+H155,5)</f>
        <v>24972.79</v>
      </c>
      <c r="I156" s="55">
        <f t="shared" si="63"/>
        <v>-28495.56</v>
      </c>
      <c r="J156" s="55">
        <f t="shared" si="63"/>
        <v>38740.58</v>
      </c>
      <c r="K156" s="55">
        <f t="shared" si="63"/>
        <v>11335.13</v>
      </c>
      <c r="L156" s="55">
        <f t="shared" si="63"/>
        <v>-20780.61</v>
      </c>
      <c r="M156" s="55">
        <f t="shared" si="63"/>
        <v>229859.34</v>
      </c>
      <c r="N156" s="55">
        <f t="shared" si="63"/>
        <v>131497.29</v>
      </c>
      <c r="O156" s="55">
        <f t="shared" si="63"/>
        <v>-7491.57</v>
      </c>
      <c r="P156" s="55">
        <f t="shared" si="63"/>
        <v>-373401.36</v>
      </c>
      <c r="Q156" s="55">
        <f>ROUND(Q148+Q155,5)</f>
        <v>913.06</v>
      </c>
      <c r="R156" s="55">
        <f>ROUND(R148+R155,5)</f>
        <v>210243.47</v>
      </c>
      <c r="S156" s="55">
        <f>ROUND(S148+S155,5)</f>
        <v>-12850.33</v>
      </c>
      <c r="T156" s="55"/>
      <c r="U156" s="55">
        <f t="shared" si="58"/>
        <v>204542.23</v>
      </c>
      <c r="V156" s="55">
        <f>ROUND(V148+V155,5)</f>
        <v>-351500</v>
      </c>
      <c r="W156" s="55">
        <f>ROUND(W148+W155,5)</f>
        <v>0</v>
      </c>
      <c r="AB156" s="86"/>
      <c r="AC156" s="86" t="s">
        <v>9</v>
      </c>
      <c r="AD156" s="86"/>
      <c r="AE156" s="86"/>
      <c r="AF156" s="86"/>
      <c r="AG156" s="86"/>
      <c r="AH156" s="87"/>
      <c r="AI156" s="87"/>
      <c r="AJ156" s="87"/>
      <c r="AK156" s="87"/>
      <c r="AL156" s="87">
        <v>3379.65</v>
      </c>
      <c r="AM156" s="87">
        <v>-3012.35</v>
      </c>
      <c r="AN156" s="87">
        <v>-3352.29</v>
      </c>
      <c r="AO156" s="87">
        <v>-8759.74</v>
      </c>
      <c r="AP156" s="87">
        <v>2275.2600000000002</v>
      </c>
      <c r="AQ156" s="87">
        <v>-9141.42</v>
      </c>
      <c r="AR156" s="87">
        <v>-5290.7</v>
      </c>
      <c r="AS156" s="87">
        <v>-9875.18</v>
      </c>
      <c r="AT156" s="87">
        <v>-10281.08</v>
      </c>
      <c r="AU156" s="87">
        <v>-4192.53</v>
      </c>
      <c r="AV156" s="87">
        <v>11137.13</v>
      </c>
      <c r="AW156" s="87">
        <v>-416.52</v>
      </c>
      <c r="AX156" s="87"/>
      <c r="AY156" s="88">
        <f>ROUND(SUM(AH156:AX156),5)</f>
        <v>-37529.769999999997</v>
      </c>
      <c r="AZ156" s="88">
        <v>0</v>
      </c>
      <c r="BA156" s="88">
        <v>0</v>
      </c>
      <c r="BB156" s="89" t="s">
        <v>206</v>
      </c>
    </row>
    <row r="157" spans="1:56" ht="15.6" thickTop="1" thickBot="1" x14ac:dyDescent="0.35">
      <c r="AB157" s="86" t="s">
        <v>10</v>
      </c>
      <c r="AC157" s="86"/>
      <c r="AD157" s="86"/>
      <c r="AE157" s="86"/>
      <c r="AF157" s="86"/>
      <c r="AG157" s="86"/>
      <c r="AH157" s="96"/>
      <c r="AI157" s="96"/>
      <c r="AJ157" s="96"/>
      <c r="AK157" s="96"/>
      <c r="AL157" s="96">
        <f t="shared" ref="AL157:AW157" si="64">ROUND(SUM(AL154:AL156),5)</f>
        <v>3379.65</v>
      </c>
      <c r="AM157" s="96">
        <f t="shared" si="64"/>
        <v>-3012.35</v>
      </c>
      <c r="AN157" s="96">
        <f t="shared" si="64"/>
        <v>-3352.29</v>
      </c>
      <c r="AO157" s="96">
        <f t="shared" si="64"/>
        <v>-8759.74</v>
      </c>
      <c r="AP157" s="96">
        <f t="shared" si="64"/>
        <v>2275.2600000000002</v>
      </c>
      <c r="AQ157" s="96">
        <f t="shared" si="64"/>
        <v>-9141.42</v>
      </c>
      <c r="AR157" s="96">
        <f t="shared" si="64"/>
        <v>-2522.06</v>
      </c>
      <c r="AS157" s="96">
        <f t="shared" si="64"/>
        <v>-9875.18</v>
      </c>
      <c r="AT157" s="96">
        <f t="shared" si="64"/>
        <v>-10281.08</v>
      </c>
      <c r="AU157" s="96">
        <f t="shared" si="64"/>
        <v>-4192.53</v>
      </c>
      <c r="AV157" s="96">
        <f t="shared" si="64"/>
        <v>11137.13</v>
      </c>
      <c r="AW157" s="96">
        <f t="shared" si="64"/>
        <v>-416.52</v>
      </c>
      <c r="AX157" s="96"/>
      <c r="AY157" s="97">
        <f>ROUND(SUM(AH157:AX157),5)</f>
        <v>-34761.129999999997</v>
      </c>
      <c r="AZ157" s="97">
        <f>ROUND(SUM(AZ154:AZ156),5)</f>
        <v>0</v>
      </c>
      <c r="BA157" s="97">
        <f>ROUND(SUM(BA154:BA156),5)</f>
        <v>0</v>
      </c>
      <c r="BB157" s="98"/>
    </row>
    <row r="158" spans="1:56" ht="15" thickBot="1" x14ac:dyDescent="0.35">
      <c r="AB158" s="86"/>
      <c r="AC158" s="86"/>
      <c r="AD158" s="86"/>
      <c r="AE158" s="86"/>
      <c r="AF158" s="86"/>
      <c r="AG158" s="86"/>
      <c r="AH158" s="96"/>
      <c r="AI158" s="96"/>
      <c r="AJ158" s="96"/>
      <c r="AK158" s="96"/>
      <c r="AL158" s="96">
        <f t="shared" ref="AL158:AW158" si="65">ROUND(AL153+AL157,5)</f>
        <v>3379.65</v>
      </c>
      <c r="AM158" s="96">
        <f t="shared" si="65"/>
        <v>-3012.35</v>
      </c>
      <c r="AN158" s="96">
        <f t="shared" si="65"/>
        <v>-3352.29</v>
      </c>
      <c r="AO158" s="96">
        <f t="shared" si="65"/>
        <v>-8759.74</v>
      </c>
      <c r="AP158" s="96">
        <f t="shared" si="65"/>
        <v>2275.2600000000002</v>
      </c>
      <c r="AQ158" s="96">
        <f t="shared" si="65"/>
        <v>-9141.42</v>
      </c>
      <c r="AR158" s="96">
        <f t="shared" si="65"/>
        <v>-2522.06</v>
      </c>
      <c r="AS158" s="96">
        <f t="shared" si="65"/>
        <v>-9875.18</v>
      </c>
      <c r="AT158" s="96">
        <f t="shared" si="65"/>
        <v>-10281.08</v>
      </c>
      <c r="AU158" s="96">
        <f t="shared" si="65"/>
        <v>-4192.53</v>
      </c>
      <c r="AV158" s="96">
        <f t="shared" si="65"/>
        <v>11137.13</v>
      </c>
      <c r="AW158" s="96">
        <f t="shared" si="65"/>
        <v>-416.52</v>
      </c>
      <c r="AX158" s="96"/>
      <c r="AY158" s="97">
        <f>ROUND(SUM(AH158:AX158),5)</f>
        <v>-34761.129999999997</v>
      </c>
      <c r="AZ158" s="97">
        <f>ROUND(AZ153+AZ157,5)</f>
        <v>0</v>
      </c>
      <c r="BA158" s="97">
        <f>ROUND(BA153+BA157,5)</f>
        <v>0</v>
      </c>
      <c r="BB158" s="98"/>
    </row>
    <row r="159" spans="1:56" ht="15" thickBot="1" x14ac:dyDescent="0.35">
      <c r="AF159" s="86"/>
      <c r="AG159" s="86"/>
      <c r="AH159" s="106"/>
      <c r="AI159" s="106"/>
      <c r="AJ159" s="106"/>
      <c r="AK159" s="106"/>
      <c r="AL159" s="106">
        <f t="shared" ref="AL159:AW159" si="66">ROUND(AL152+AL158,5)</f>
        <v>-5461.39</v>
      </c>
      <c r="AM159" s="106">
        <f t="shared" si="66"/>
        <v>-13891.62</v>
      </c>
      <c r="AN159" s="106">
        <f t="shared" si="66"/>
        <v>-5677.73</v>
      </c>
      <c r="AO159" s="106">
        <f t="shared" si="66"/>
        <v>34737.85</v>
      </c>
      <c r="AP159" s="106">
        <f t="shared" si="66"/>
        <v>-11168.92</v>
      </c>
      <c r="AQ159" s="106">
        <f t="shared" si="66"/>
        <v>201781.62</v>
      </c>
      <c r="AR159" s="106">
        <f t="shared" si="66"/>
        <v>209369.41</v>
      </c>
      <c r="AS159" s="106">
        <f t="shared" si="66"/>
        <v>16803.47</v>
      </c>
      <c r="AT159" s="106">
        <f t="shared" si="66"/>
        <v>7166.63</v>
      </c>
      <c r="AU159" s="106">
        <f t="shared" si="66"/>
        <v>40104.85</v>
      </c>
      <c r="AV159" s="106">
        <f t="shared" si="66"/>
        <v>183958.75</v>
      </c>
      <c r="AW159" s="106">
        <f t="shared" si="66"/>
        <v>16013.61</v>
      </c>
      <c r="AX159" s="106"/>
      <c r="AY159" s="107">
        <f>ROUND(SUM(AH159:AX159),5)</f>
        <v>673736.53</v>
      </c>
      <c r="AZ159" s="107">
        <f>ROUND(AZ152+AZ158,5)</f>
        <v>-366500</v>
      </c>
      <c r="BA159" s="107">
        <f>ROUND(BA152+BA158,5)</f>
        <v>-351500</v>
      </c>
      <c r="BB159" s="108"/>
    </row>
    <row r="160" spans="1:56" ht="15" thickTop="1" x14ac:dyDescent="0.3"/>
  </sheetData>
  <pageMargins left="0.7" right="0.7" top="0.75" bottom="0.75" header="0.1" footer="0.3"/>
  <pageSetup orientation="portrait" horizontalDpi="0" verticalDpi="0" r:id="rId1"/>
  <headerFooter>
    <oddHeader>&amp;L&amp;"Arial,Bold"&amp;8 1:14 PM
&amp;"Arial,Bold"&amp;8 04/28/22
&amp;"Arial,Bold"&amp;8 Accrual Basis&amp;C&amp;"Arial,Bold"&amp;12 Temecula Public Cemetery District
&amp;"Arial,Bold"&amp;14 Profit &amp;&amp; Loss
&amp;"Arial,Bold"&amp;10 April 2021 through March 2022</oddHeader>
    <oddFooter>&amp;R&amp;"Arial,Bold"&amp;8 Page &amp;P of &amp;N</oddFooter>
  </headerFooter>
  <drawing r:id="rId2"/>
  <legacyDrawing r:id="rId3"/>
  <controls>
    <mc:AlternateContent xmlns:mc="http://schemas.openxmlformats.org/markup-compatibility/2006">
      <mc:Choice Requires="x14">
        <control shapeId="92161" r:id="rId4" name="FILTER">
          <controlPr defaultSize="0" autoLine="0" r:id="rId5">
            <anchor moveWithCells="1">
              <from>
                <xdr:col>0</xdr:col>
                <xdr:colOff>0</xdr:colOff>
                <xdr:row>0</xdr:row>
                <xdr:rowOff>0</xdr:rowOff>
              </from>
              <to>
                <xdr:col>4</xdr:col>
                <xdr:colOff>68580</xdr:colOff>
                <xdr:row>0</xdr:row>
                <xdr:rowOff>236220</xdr:rowOff>
              </to>
            </anchor>
          </controlPr>
        </control>
      </mc:Choice>
      <mc:Fallback>
        <control shapeId="92161" r:id="rId4" name="FILTER"/>
      </mc:Fallback>
    </mc:AlternateContent>
    <mc:AlternateContent xmlns:mc="http://schemas.openxmlformats.org/markup-compatibility/2006">
      <mc:Choice Requires="x14">
        <control shapeId="92162" r:id="rId6" name="HEADER">
          <controlPr defaultSize="0" autoLine="0" r:id="rId7">
            <anchor moveWithCells="1">
              <from>
                <xdr:col>0</xdr:col>
                <xdr:colOff>0</xdr:colOff>
                <xdr:row>0</xdr:row>
                <xdr:rowOff>0</xdr:rowOff>
              </from>
              <to>
                <xdr:col>4</xdr:col>
                <xdr:colOff>68580</xdr:colOff>
                <xdr:row>0</xdr:row>
                <xdr:rowOff>236220</xdr:rowOff>
              </to>
            </anchor>
          </controlPr>
        </control>
      </mc:Choice>
      <mc:Fallback>
        <control shapeId="92162" r:id="rId6" name="HEADER"/>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12</vt:i4>
      </vt:variant>
    </vt:vector>
  </HeadingPairs>
  <TitlesOfParts>
    <vt:vector size="31" baseType="lpstr">
      <vt:lpstr>Approved Budget</vt:lpstr>
      <vt:lpstr>App Bud for Input</vt:lpstr>
      <vt:lpstr>For Trustees 071222 </vt:lpstr>
      <vt:lpstr>Working Copy 071222</vt:lpstr>
      <vt:lpstr>Sheet1</vt:lpstr>
      <vt:lpstr>For Trustee 061422</vt:lpstr>
      <vt:lpstr>Working Copy 061422</vt:lpstr>
      <vt:lpstr>For Trustees 050522</vt:lpstr>
      <vt:lpstr>Working Copy 050522</vt:lpstr>
      <vt:lpstr>Ad Downloaded 042822</vt:lpstr>
      <vt:lpstr>060421 For Trustees Prior Year </vt:lpstr>
      <vt:lpstr>Wage &amp; Benefit modeling 22-23</vt:lpstr>
      <vt:lpstr>Wage &amp; Benefit modeling 21-22</vt:lpstr>
      <vt:lpstr>Wage &amp; Benefit modeling 20-21</vt:lpstr>
      <vt:lpstr>Wage &amp; Benefit modeling 19-20</vt:lpstr>
      <vt:lpstr>Wage &amp; Benefit modeling 18-19</vt:lpstr>
      <vt:lpstr>Wage &amp; Benefit modeling 17-18</vt:lpstr>
      <vt:lpstr>Budget Input Notes</vt:lpstr>
      <vt:lpstr>Notes from Prior Year</vt:lpstr>
      <vt:lpstr>'Wage &amp; Benefit modeling 21-22'!Print_Area</vt:lpstr>
      <vt:lpstr>'Wage &amp; Benefit modeling 22-23'!Print_Area</vt:lpstr>
      <vt:lpstr>'060421 For Trustees Prior Year '!Print_Titles</vt:lpstr>
      <vt:lpstr>'Ad Downloaded 042822'!Print_Titles</vt:lpstr>
      <vt:lpstr>'App Bud for Input'!Print_Titles</vt:lpstr>
      <vt:lpstr>'Approved Budget'!Print_Titles</vt:lpstr>
      <vt:lpstr>'For Trustee 061422'!Print_Titles</vt:lpstr>
      <vt:lpstr>'For Trustees 050522'!Print_Titles</vt:lpstr>
      <vt:lpstr>'For Trustees 071222 '!Print_Titles</vt:lpstr>
      <vt:lpstr>'Working Copy 050522'!Print_Titles</vt:lpstr>
      <vt:lpstr>'Working Copy 061422'!Print_Titles</vt:lpstr>
      <vt:lpstr>'Working Copy 071222'!Print_Titles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 Glau</dc:creator>
  <cp:lastModifiedBy>Cindi</cp:lastModifiedBy>
  <cp:lastPrinted>2022-09-01T22:13:50Z</cp:lastPrinted>
  <dcterms:created xsi:type="dcterms:W3CDTF">2020-04-21T20:45:05Z</dcterms:created>
  <dcterms:modified xsi:type="dcterms:W3CDTF">2023-02-21T18:12:45Z</dcterms:modified>
</cp:coreProperties>
</file>